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РАБОТАТЬ" sheetId="1" state="visible" r:id="rId3"/>
    <sheet name="ИНФА" sheetId="2" state="visible" r:id="rId4"/>
    <sheet name="ТАБЛО" sheetId="3" state="visible" r:id="rId5"/>
    <sheet name="ИТОГ" sheetId="4" state="visible" r:id="rId6"/>
    <sheet name="БАНК" sheetId="5" state="visible" r:id="rId7"/>
    <sheet name="ИНФРАСТРУКТУРА" sheetId="6" state="visible" r:id="rId8"/>
    <sheet name="НАУКА" sheetId="7" state="visible" r:id="rId9"/>
    <sheet name="БИРЖА ТРУДА" sheetId="8" state="visible" r:id="rId10"/>
    <sheet name="ПРОФЕССИИ" sheetId="9" state="visible" r:id="rId11"/>
    <sheet name="ГРАЖДАНСКИЕ СЕРВИСЫ" sheetId="10" state="visible" r:id="rId12"/>
    <sheet name="МЕХАНИКИ" sheetId="11" state="visible" r:id="rId13"/>
    <sheet name="СОБЫТИЯ" sheetId="12" state="visible" r:id="rId14"/>
    <sheet name="КАССА" sheetId="13" state="visible" r:id="rId1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<sst xmlns="http://schemas.openxmlformats.org/spreadsheetml/2006/main" count="1022" uniqueCount="701">
  <si>
    <t xml:space="preserve">КАК РАБОТАТЬ С ТАБЛИЦЕЙ — коротко</t>
  </si>
  <si>
    <t xml:space="preserve">Одна таблица на всю игру. Каждая станция вписывает свои действия на свой лист, остальное считается само.</t>
  </si>
  <si>
    <t xml:space="preserve">Главные правила</t>
  </si>
  <si>
    <t xml:space="preserve">Жёлтые ячейки</t>
  </si>
  <si>
    <t xml:space="preserve">—</t>
  </si>
  <si>
    <t xml:space="preserve">Сюда вписываем. Белые ячейки — формулы, их не трогаем и не перепечатываем.</t>
  </si>
  <si>
    <t xml:space="preserve">Красный текст</t>
  </si>
  <si>
    <t xml:space="preserve">столбцы «Проверка», «Статус»</t>
  </si>
  <si>
    <t xml:space="preserve">Предупреждение: что-то вписано неверно (нет лотов, цена вне коридора, просрочка, повтор). Исправьте запись.</t>
  </si>
  <si>
    <t xml:space="preserve">Строки</t>
  </si>
  <si>
    <t xml:space="preserve">все листы</t>
  </si>
  <si>
    <t xml:space="preserve">Не удаляйте, не сортируйте и не вставляйте строки в середину — номера строк используются как ссылки (например, на поставщика). Ошибочную запись просто очистите.</t>
  </si>
  <si>
    <t xml:space="preserve">Выпадающие списки</t>
  </si>
  <si>
    <t xml:space="preserve">компании, здания, профессии</t>
  </si>
  <si>
    <t xml:space="preserve">Выбирайте из списка, а не печатайте вручную — иначе формулы не найдут значение.</t>
  </si>
  <si>
    <t xml:space="preserve">Перед игрой — главный игротехник</t>
  </si>
  <si>
    <t xml:space="preserve">Что сделать</t>
  </si>
  <si>
    <t xml:space="preserve">Где</t>
  </si>
  <si>
    <t xml:space="preserve">Как</t>
  </si>
  <si>
    <t xml:space="preserve">1. Отметить команды</t>
  </si>
  <si>
    <t xml:space="preserve">ИНФА</t>
  </si>
  <si>
    <t xml:space="preserve">В столбце «Участвует» поставить «да» у играющих компаний. Названия можно заменить — они обновятся везде.</t>
  </si>
  <si>
    <t xml:space="preserve">2. Проверить настройки</t>
  </si>
  <si>
    <t xml:space="preserve">«Текущий цикл» = 1. Проверить стартовый капитал, ставку, бонусы профессий, коммуналку.</t>
  </si>
  <si>
    <t xml:space="preserve">3. Раунды переговоров</t>
  </si>
  <si>
    <t xml:space="preserve">По умолчанию — после каждых 2 циклов (настройка «Раунд переговоров после каждых N циклов»). Табло само покажет раунд. События на листе СОБЫТИЯ выключены; если играете 10 циклов — поставьте «Всего циклов» = 10.</t>
  </si>
  <si>
    <t xml:space="preserve">4. Вписать игроков</t>
  </si>
  <si>
    <t xml:space="preserve">БИРЖА ТРУДА</t>
  </si>
  <si>
    <t xml:space="preserve">Профессии уже разложены по компаниям. Напишите имя игрока напротив его профессии (можно при регистрации).</t>
  </si>
  <si>
    <t xml:space="preserve">5. Открыть доступ</t>
  </si>
  <si>
    <t xml:space="preserve">Google Таблицы</t>
  </si>
  <si>
    <t xml:space="preserve">Загрузить файл, дать доступ на редактирование станциям. Лист ТАБЛО — на экран.</t>
  </si>
  <si>
    <t xml:space="preserve">Каждый цикл — кто и что вписывает</t>
  </si>
  <si>
    <t xml:space="preserve">Станция</t>
  </si>
  <si>
    <t xml:space="preserve">Лист</t>
  </si>
  <si>
    <t xml:space="preserve">Что вписать</t>
  </si>
  <si>
    <t xml:space="preserve">Ведущий</t>
  </si>
  <si>
    <t xml:space="preserve">В конце цикла: «Текущий цикл» +1. От этого числа считаются выплаты, табло и рейтинг. После 2-го, 4-го, 6-го цикла — раунд переговоров 3 минуты (покупки на паузе), затем «Текущий цикл» +1.</t>
  </si>
  <si>
    <t xml:space="preserve">Банк — доход</t>
  </si>
  <si>
    <t xml:space="preserve">БАНК (верх)</t>
  </si>
  <si>
    <t xml:space="preserve">В начале цикла раздать сумму из столбца «ИТОГО к выплате» — в ней уже Парк, бизнес-пары, коммуналка и выплаты за обучение. Выданную сумму вписать в столбец с номером цикла. Минус — команда платит Банку.</t>
  </si>
  <si>
    <t xml:space="preserve">Банк — профессия к доходу</t>
  </si>
  <si>
    <t xml:space="preserve">БИРЖА ТРУДА (журнал)</t>
  </si>
  <si>
    <t xml:space="preserve">До выплаты добавить строку: цикл, компания, профессия, уровень, «Где применено» = Банк. Бонус сам прибавится к выплате.</t>
  </si>
  <si>
    <t xml:space="preserve">Банк — кредит</t>
  </si>
  <si>
    <t xml:space="preserve">БАНК (Кредиты)</t>
  </si>
  <si>
    <t xml:space="preserve">Новая строка: компания, сумма, цикл выдачи, срок. «К возврату» посчитается само. При погашении: «Погашено» = да и цикл погашения. Поручитель — в столбце R, его бонус посчитается сам. Финансовая паника — впишите сниженную ставку в «Ставка».</t>
  </si>
  <si>
    <t xml:space="preserve">Банк — сделка между командами</t>
  </si>
  <si>
    <t xml:space="preserve">БАНК (Расчёты)</t>
  </si>
  <si>
    <t xml:space="preserve">Цикл, кто платит, кому, сумма, за что (поглощение, лицензия, аукцион патента, найм, совместное предприятие).</t>
  </si>
  <si>
    <t xml:space="preserve">Инфраструктура — покупка</t>
  </si>
  <si>
    <t xml:space="preserve">ИНФРАСТРУКТУРА</t>
  </si>
  <si>
    <t xml:space="preserve">Новая строка: компания, постройка, цикл покупки, скидка (если есть) и её основание (столбец AD: профессия до 1 500 ₽ или Чёрная пятница). Цена и доход подставятся сами. Парк сам добавит +500 к одному Дому и одному Кафе компании.</t>
  </si>
  <si>
    <t xml:space="preserve">Инфраструктура — бизнес-пара</t>
  </si>
  <si>
    <t xml:space="preserve">В строке здания в столбце AE вписать № строки здания другой компании. Оба здания получат +500 к доходу.</t>
  </si>
  <si>
    <t xml:space="preserve">Инфраструктура — поставщик</t>
  </si>
  <si>
    <t xml:space="preserve">В строке здания услуг (кафе, дом…) в столбце «Поставщик: № строки» вписать номер строки завода из столбца «№». Завод другой компании — только по соглашению из раунда переговоров; оплату за поставку каждый цикл — в БАНК, «Расчёты» (За что = Поставка). Столбец «Поставка» покажет, сработало ли (+50%).</t>
  </si>
  <si>
    <t xml:space="preserve">Инфраструктура — продажа городу</t>
  </si>
  <si>
    <t xml:space="preserve">В строке здания вписать «Цикл продажи». Сумма к выдаче — в «Получено при продаже».</t>
  </si>
  <si>
    <t xml:space="preserve">Инфраструктура — продажа компании</t>
  </si>
  <si>
    <t xml:space="preserve">У продавца: цикл продажи, «Продано компании», цена. У покупателя: новая строка с «Куплено у компании» и той же ценой.</t>
  </si>
  <si>
    <t xml:space="preserve">Наука</t>
  </si>
  <si>
    <t xml:space="preserve">НАУКА</t>
  </si>
  <si>
    <t xml:space="preserve">Новая строка: компания, название, тип, множитель 1,2 или 1,5 (или фикс. выплата), цикл выдачи, «Подтверждён» = да. До 2 патентов на компанию. Номер патента появится сам — сообщите его Инфраструктуре, она впишет его в строку здания (в т. ч. здания другой компании по лицензии).</t>
  </si>
  <si>
    <t xml:space="preserve">Биржа труда</t>
  </si>
  <si>
    <t xml:space="preserve">Повышение: в строке игрока вписать номер цикла в «до ур. 2» или «до ур. 3». Уровень и выплата за обучение (2 000 / 3 000 ₽) посчитаются сами, выплата придёт через Банк в следующем цикле. Найм и переманивание — блок справа.</t>
  </si>
  <si>
    <t xml:space="preserve">Механики</t>
  </si>
  <si>
    <t xml:space="preserve">МЕХАНИКИ</t>
  </si>
  <si>
    <t xml:space="preserve">Свободный микрофон, рекламный баттл, минута контактов, охота за профессией и др.: цикл, компания, механика (и роль для баттла). Награда подставится сама, деньги выдаёт Банк.</t>
  </si>
  <si>
    <t xml:space="preserve">Ведущий — проект</t>
  </si>
  <si>
    <t xml:space="preserve">ГРАЖДАНСКИЕ СЕРВИСЫ</t>
  </si>
  <si>
    <t xml:space="preserve">Компания, описание, сумма, бонус профессии, «Принят» = да, цикл выплаты. Деньги выдаёт Банк.</t>
  </si>
  <si>
    <t xml:space="preserve">Ведущий — штраф</t>
  </si>
  <si>
    <t xml:space="preserve">Цикл, компания, нарушение (сумма пустая = 1 000 ₽), снижение профессией. Оплатили — «Оплачен» = да и цикл.</t>
  </si>
  <si>
    <t xml:space="preserve">Учёт</t>
  </si>
  <si>
    <t xml:space="preserve">ИТОГ, КАССА</t>
  </si>
  <si>
    <t xml:space="preserve">Следить за красными предупреждениями на листах. В паузе и в финале вписать пересчёт купюр в «Касса по факту» — «Расхождение» должно быть 0.</t>
  </si>
  <si>
    <t xml:space="preserve">Финал</t>
  </si>
  <si>
    <t xml:space="preserve">1. Стоп-игра</t>
  </si>
  <si>
    <t xml:space="preserve">«Текущий цикл» оставить равным последнему циклу. Новые покупки не вносить.</t>
  </si>
  <si>
    <t xml:space="preserve">2. Кредиты</t>
  </si>
  <si>
    <t xml:space="preserve">БАНК</t>
  </si>
  <si>
    <t xml:space="preserve">Отметить погашенные. Непогашенный долг сам вычтется из капитала.</t>
  </si>
  <si>
    <t xml:space="preserve">3. Рейтинг</t>
  </si>
  <si>
    <t xml:space="preserve">ИНФА → ТАБЛО</t>
  </si>
  <si>
    <t xml:space="preserve">«Показать рейтинг на табло» = да. Места и капитализация — на ТАБЛО и листе ИТОГ.</t>
  </si>
  <si>
    <t xml:space="preserve">Частые ошибки</t>
  </si>
  <si>
    <t xml:space="preserve">Выплаты не изменились</t>
  </si>
  <si>
    <t xml:space="preserve">Забыли увеличить «Текущий цикл» на листе ИНФА.</t>
  </si>
  <si>
    <t xml:space="preserve">Поставка не работает</t>
  </si>
  <si>
    <t xml:space="preserve">Указан номер не той строки, завод куплен в этом же цикле (заработает со следующего) или завод уже снабжает 2 здания.</t>
  </si>
  <si>
    <t xml:space="preserve">Парк не добавил 500</t>
  </si>
  <si>
    <t xml:space="preserve">Парк или Дом/Кафе куплены в этом цикле (бонус — со следующего), у компании нет Дома/Кафе, или все Дома и Кафе уже получают бонус от других Парков (один Парк = один Дом + одно Кафе).</t>
  </si>
  <si>
    <t xml:space="preserve">Пропала формула</t>
  </si>
  <si>
    <t xml:space="preserve">В белую ячейку вписали число. Отмените (Ctrl+Z) или скопируйте формулу из соседней строки.</t>
  </si>
  <si>
    <t xml:space="preserve">Компании нет в списке</t>
  </si>
  <si>
    <t xml:space="preserve">На листе ИНФА у неё не стоит «да» в «Участвует» или название написано иначе.</t>
  </si>
  <si>
    <t xml:space="preserve">ИНФА — компании, настройки, каталог зданий</t>
  </si>
  <si>
    <t xml:space="preserve">Жёлтые ячейки — ввод. В столбце «Участвует» отметьте «да» у компаний, которые играют сегодня. «Текущий цикл» ведущий меняет на +1 при закрытии цикла — от него считаются выплаты, табло и рейтинг.</t>
  </si>
  <si>
    <t xml:space="preserve">№ конверта</t>
  </si>
  <si>
    <t xml:space="preserve">Компания</t>
  </si>
  <si>
    <t xml:space="preserve">Участвует</t>
  </si>
  <si>
    <t xml:space="preserve">Настройка</t>
  </si>
  <si>
    <t xml:space="preserve">Значение</t>
  </si>
  <si>
    <t xml:space="preserve">Пояснение</t>
  </si>
  <si>
    <t xml:space="preserve">Постройка</t>
  </si>
  <si>
    <t xml:space="preserve">Тип</t>
  </si>
  <si>
    <t xml:space="preserve">Сфера</t>
  </si>
  <si>
    <t xml:space="preserve">Поставщик (+50%)</t>
  </si>
  <si>
    <t xml:space="preserve">Цена покупки = оценка, ₽</t>
  </si>
  <si>
    <t xml:space="preserve">Цена выкупа, ₽</t>
  </si>
  <si>
    <t xml:space="preserve">Доход за цикл, ₽</t>
  </si>
  <si>
    <t xml:space="preserve">Коммуналка, ₽</t>
  </si>
  <si>
    <t xml:space="preserve">Лотов в городе</t>
  </si>
  <si>
    <t xml:space="preserve">Сейчас у компаний</t>
  </si>
  <si>
    <t xml:space="preserve">Осталось у Инфраструктуры</t>
  </si>
  <si>
    <t xml:space="preserve">Прорыв</t>
  </si>
  <si>
    <t xml:space="preserve">да</t>
  </si>
  <si>
    <t xml:space="preserve">Текущий цикл</t>
  </si>
  <si>
    <t xml:space="preserve">Ведущий: +1 при закрытии цикла</t>
  </si>
  <si>
    <t xml:space="preserve">Парк</t>
  </si>
  <si>
    <t xml:space="preserve">Город</t>
  </si>
  <si>
    <t xml:space="preserve">Городская среда</t>
  </si>
  <si>
    <t xml:space="preserve">Финфлоу</t>
  </si>
  <si>
    <t xml:space="preserve">Всего циклов</t>
  </si>
  <si>
    <t xml:space="preserve">8 циклов по 5 минут; таблица поддерживает до 10</t>
  </si>
  <si>
    <t xml:space="preserve">Дом</t>
  </si>
  <si>
    <t xml:space="preserve">Услуги</t>
  </si>
  <si>
    <t xml:space="preserve">Недвижимость</t>
  </si>
  <si>
    <t xml:space="preserve">Лесопилка</t>
  </si>
  <si>
    <t xml:space="preserve">Синерс</t>
  </si>
  <si>
    <t xml:space="preserve">Раунд переговоров после каждых N циклов</t>
  </si>
  <si>
    <t xml:space="preserve">После 2-го, 4-го, 6-го цикла — 3 минуты на соглашения о поставках</t>
  </si>
  <si>
    <t xml:space="preserve">Мастерская</t>
  </si>
  <si>
    <t xml:space="preserve">Торговля и досуг</t>
  </si>
  <si>
    <t xml:space="preserve">Металлоперерабатывающий завод</t>
  </si>
  <si>
    <t xml:space="preserve">Горизонт</t>
  </si>
  <si>
    <t xml:space="preserve">Стартовый капитал, ₽</t>
  </si>
  <si>
    <t xml:space="preserve">Лежит в конверте</t>
  </si>
  <si>
    <t xml:space="preserve">Магазин</t>
  </si>
  <si>
    <t xml:space="preserve">Стекольный завод</t>
  </si>
  <si>
    <t xml:space="preserve">Вектор</t>
  </si>
  <si>
    <t xml:space="preserve">Ставка кредита за цикл</t>
  </si>
  <si>
    <t xml:space="preserve">Простые проценты</t>
  </si>
  <si>
    <t xml:space="preserve">Кафе</t>
  </si>
  <si>
    <t xml:space="preserve">Пищевой комбинат</t>
  </si>
  <si>
    <t xml:space="preserve">Импульс</t>
  </si>
  <si>
    <t xml:space="preserve">Лимит кредита на компанию, ₽</t>
  </si>
  <si>
    <t xml:space="preserve">Непогашенный основной долг</t>
  </si>
  <si>
    <t xml:space="preserve">Пекарня</t>
  </si>
  <si>
    <t xml:space="preserve">Атлас</t>
  </si>
  <si>
    <t xml:space="preserve">нет</t>
  </si>
  <si>
    <t xml:space="preserve">Штраф за просрочку кредита</t>
  </si>
  <si>
    <t xml:space="preserve">От суммы к возврату</t>
  </si>
  <si>
    <t xml:space="preserve">Кинотеатр</t>
  </si>
  <si>
    <t xml:space="preserve">Электростанция</t>
  </si>
  <si>
    <t xml:space="preserve">Орбита</t>
  </si>
  <si>
    <t xml:space="preserve">Бонус профессии, уровень 1, ₽</t>
  </si>
  <si>
    <t xml:space="preserve">Отель</t>
  </si>
  <si>
    <t xml:space="preserve">Кирпичный завод</t>
  </si>
  <si>
    <t xml:space="preserve">Квант</t>
  </si>
  <si>
    <t xml:space="preserve">Бонус профессии, уровень 2, ₽</t>
  </si>
  <si>
    <t xml:space="preserve">Бизнес-центр</t>
  </si>
  <si>
    <t xml:space="preserve">Полюс</t>
  </si>
  <si>
    <t xml:space="preserve">Бонус профессии, уровень 3, ₽</t>
  </si>
  <si>
    <t xml:space="preserve">Уровень 3 — не в одном цикле с уровнем 2</t>
  </si>
  <si>
    <t xml:space="preserve">Производство</t>
  </si>
  <si>
    <t xml:space="preserve">Новатор</t>
  </si>
  <si>
    <t xml:space="preserve">Бонус поставки</t>
  </si>
  <si>
    <t xml:space="preserve">Здание услуг с поставщиком: доход +50%</t>
  </si>
  <si>
    <t xml:space="preserve">Магистраль</t>
  </si>
  <si>
    <t xml:space="preserve">Мощность поставщика, зданий</t>
  </si>
  <si>
    <t xml:space="preserve">Одно производство снабжает до 2 зданий услуг</t>
  </si>
  <si>
    <t xml:space="preserve">Бонус Парка, ₽</t>
  </si>
  <si>
    <t xml:space="preserve">За каждый Парк: +500 к доходу одного Дома и одного Кафе компании (считается сам)</t>
  </si>
  <si>
    <t xml:space="preserve">Названия можно заменить — они сами обновятся на всех листах. Конверты 7–12 повторяют наборы профессий 1–6 (второй комплект карточек).</t>
  </si>
  <si>
    <t xml:space="preserve">Коммуналка</t>
  </si>
  <si>
    <t xml:space="preserve">вкл</t>
  </si>
  <si>
    <t xml:space="preserve">«вкл» / «выкл»</t>
  </si>
  <si>
    <t xml:space="preserve">Коммуналка, % от дохода</t>
  </si>
  <si>
    <t xml:space="preserve">Округление до 100 ₽</t>
  </si>
  <si>
    <t xml:space="preserve">Коммуналка минимум, ₽</t>
  </si>
  <si>
    <t xml:space="preserve">Для Парка</t>
  </si>
  <si>
    <t xml:space="preserve">Штраф за нарушение, ₽</t>
  </si>
  <si>
    <t xml:space="preserve">Базовый размер</t>
  </si>
  <si>
    <t xml:space="preserve">Макс. множитель патента</t>
  </si>
  <si>
    <t xml:space="preserve">Рекомендуемо ×1,2 или ×1,5</t>
  </si>
  <si>
    <t xml:space="preserve">Резерв денег у Банка на старте, ₽</t>
  </si>
  <si>
    <t xml:space="preserve">Все купюры у Банка до раздачи конвертов, включая конверты</t>
  </si>
  <si>
    <t xml:space="preserve">Показать рейтинг на табло</t>
  </si>
  <si>
    <t xml:space="preserve">Включить «да» только в финале</t>
  </si>
  <si>
    <t xml:space="preserve">Команд в игре</t>
  </si>
  <si>
    <t xml:space="preserve">Считается сам</t>
  </si>
  <si>
    <t xml:space="preserve">Лотов каждого здания в городе</t>
  </si>
  <si>
    <t xml:space="preserve">Половина числа команд; можно заменить числом</t>
  </si>
  <si>
    <t xml:space="preserve">Выплата за обучение, уровень 2, ₽</t>
  </si>
  <si>
    <t xml:space="preserve">Однократно; приходит с доходом следующего цикла</t>
  </si>
  <si>
    <t xml:space="preserve">Выплата за обучение, уровень 3, ₽</t>
  </si>
  <si>
    <t xml:space="preserve">Однократно; уровень 1 — без выплаты</t>
  </si>
  <si>
    <t xml:space="preserve">Макс. скидка профессии, ₽</t>
  </si>
  <si>
    <t xml:space="preserve">Одна скидка на покупку</t>
  </si>
  <si>
    <t xml:space="preserve">Цена после скидки не ниже выкупа +, ₽</t>
  </si>
  <si>
    <t xml:space="preserve">Бонус бизнес-пары, ₽</t>
  </si>
  <si>
    <t xml:space="preserve">К доходу каждого из двух зданий разных компаний</t>
  </si>
  <si>
    <t xml:space="preserve">Бонус поручителю, ₽</t>
  </si>
  <si>
    <t xml:space="preserve">Если кредит погашен без просрочки</t>
  </si>
  <si>
    <t xml:space="preserve">Патентов на компанию, макс.</t>
  </si>
  <si>
    <t xml:space="preserve">По новому бланку — 2 разных; согласовать</t>
  </si>
  <si>
    <t xml:space="preserve">Найм: оплата от, ₽</t>
  </si>
  <si>
    <t xml:space="preserve">Один заказ специалиста за цикл</t>
  </si>
  <si>
    <t xml:space="preserve">Найм: оплата до, ₽</t>
  </si>
  <si>
    <t xml:space="preserve">Цена</t>
  </si>
  <si>
    <t xml:space="preserve">Доход сейчас</t>
  </si>
  <si>
    <t xml:space="preserve">Осталось в городе</t>
  </si>
  <si>
    <t xml:space="preserve">Место</t>
  </si>
  <si>
    <t xml:space="preserve">Капитализация</t>
  </si>
  <si>
    <t xml:space="preserve">Синим — производство (поставщики). Доход «сейчас» — с учётом события цикла, без поставки и патентов. Парк: +500 к доходу одного Дома и одного Кафе владельца.</t>
  </si>
  <si>
    <t xml:space="preserve">ИТОГ — капитализация и рейтинг</t>
  </si>
  <si>
    <t xml:space="preserve">Капитализация = оценка зданий (по цене покупки из каталога) − долг Банку − неоплаченные штрафы. Деньги на руках в капитал НЕ входят: к концу игры их выгодно вложить в здания. Тай-брейки: меньше долг → больше зданий → меньше нарушений.</t>
  </si>
  <si>
    <t xml:space="preserve">Зданий</t>
  </si>
  <si>
    <t xml:space="preserve">Оценка зданий, ₽</t>
  </si>
  <si>
    <t xml:space="preserve">Долг Банку, ₽</t>
  </si>
  <si>
    <t xml:space="preserve">Неоплаченные штрафы, ₽</t>
  </si>
  <si>
    <t xml:space="preserve">КАПИТАЛИЗАЦИЯ, ₽</t>
  </si>
  <si>
    <t xml:space="preserve">Нарушений</t>
  </si>
  <si>
    <t xml:space="preserve">МЕСТО</t>
  </si>
  <si>
    <t xml:space="preserve">К выплате в текущем цикле, ₽</t>
  </si>
  <si>
    <t xml:space="preserve">БАНК — выплаты дохода, кредиты, расчёты</t>
  </si>
  <si>
    <t xml:space="preserve">В начале цикла раздайте сумму «ИТОГО к выплате» (здания с поставкой, патентами, событием, Парком и бизнес-парами − коммуналка + соц. патенты + профессии из журнала + выплаты за обучение за прошлый цикл). Выданную сумму впишите в столбец текущего цикла. Если сумма отрицательная — команда платит Банку.</t>
  </si>
  <si>
    <t xml:space="preserve">Выплата дохода — текущий цикл и факт по циклам</t>
  </si>
  <si>
    <t xml:space="preserve">Выдано по факту в цикле →</t>
  </si>
  <si>
    <t xml:space="preserve">Здания (с Парком и парами), ₽</t>
  </si>
  <si>
    <t xml:space="preserve">Соц. патенты, ₽</t>
  </si>
  <si>
    <t xml:space="preserve">Профессии (журнал), ₽</t>
  </si>
  <si>
    <t xml:space="preserve">Обучение (повышения прошлого цикла), ₽</t>
  </si>
  <si>
    <t xml:space="preserve">ИТОГО к выплате, ₽</t>
  </si>
  <si>
    <t xml:space="preserve">В 1-м цикле дохода нет: здания начинают приносить деньги со следующего цикла после покупки. Выплата за обучение приходит в начале цикла, следующего за повышением.</t>
  </si>
  <si>
    <t xml:space="preserve">Кредиты  ·  Финансовая паника: впишите сниженную ставку в «Ставка»  ·  Поручитель: компания-поручитель получает бонус после погашения без просрочки</t>
  </si>
  <si>
    <t xml:space="preserve">Расчёты между компаниями (сразу деньгами; на капитал не влияют)</t>
  </si>
  <si>
    <t xml:space="preserve">Сумма кредита, ₽</t>
  </si>
  <si>
    <t xml:space="preserve">Цикл выдачи</t>
  </si>
  <si>
    <t xml:space="preserve">Срок, циклов</t>
  </si>
  <si>
    <t xml:space="preserve">Ставка (пусто = базовая)</t>
  </si>
  <si>
    <t xml:space="preserve">Ставка применённая</t>
  </si>
  <si>
    <t xml:space="preserve">Цикл погашения</t>
  </si>
  <si>
    <t xml:space="preserve">К возврату, ₽</t>
  </si>
  <si>
    <t xml:space="preserve">Снижение (Финансист), ₽</t>
  </si>
  <si>
    <t xml:space="preserve">Погашено</t>
  </si>
  <si>
    <t xml:space="preserve">Цикл фактического погашения</t>
  </si>
  <si>
    <t xml:space="preserve">Просрочка</t>
  </si>
  <si>
    <t xml:space="preserve">Штраф за просрочку, ₽</t>
  </si>
  <si>
    <t xml:space="preserve">Остаток долга, ₽</t>
  </si>
  <si>
    <t xml:space="preserve">Внесено при погашении, ₽</t>
  </si>
  <si>
    <t xml:space="preserve">Основной долг компании, ₽</t>
  </si>
  <si>
    <t xml:space="preserve">Проверка</t>
  </si>
  <si>
    <t xml:space="preserve">Поручитель (компания)</t>
  </si>
  <si>
    <t xml:space="preserve">Цикл</t>
  </si>
  <si>
    <t xml:space="preserve">Кто платит</t>
  </si>
  <si>
    <t xml:space="preserve">Кому платят</t>
  </si>
  <si>
    <t xml:space="preserve">Сумма, ₽</t>
  </si>
  <si>
    <t xml:space="preserve">За что</t>
  </si>
  <si>
    <t xml:space="preserve">Подтверждено</t>
  </si>
  <si>
    <t xml:space="preserve">ИНФРАСТРУКТУРА — реестр зданий</t>
  </si>
  <si>
    <t xml:space="preserve">Вводите жёлтые столбцы. Поставщик: № строки завода (своего или чужого по договору). Поглощение / вторичный рынок: у продавца — цикл продажи, покупатель и цена; у покупателя — новая строка с продавцом и ценой. Парк сам добавляет +500 к одному Дому и одному Кафе компании. Бизнес-пара: № строки здания другой компании (столбец AE). Пример: «Прорыв · Кафе · цикл 2 · поставщик № 3».</t>
  </si>
  <si>
    <t xml:space="preserve">№</t>
  </si>
  <si>
    <t xml:space="preserve">Цикл покупки</t>
  </si>
  <si>
    <t xml:space="preserve">Куплено у компании</t>
  </si>
  <si>
    <t xml:space="preserve">Цена сделки, ₽</t>
  </si>
  <si>
    <t xml:space="preserve">Цена покупки, ₽</t>
  </si>
  <si>
    <t xml:space="preserve">Скидка, ₽</t>
  </si>
  <si>
    <t xml:space="preserve">Оплачено, ₽</t>
  </si>
  <si>
    <t xml:space="preserve">Поставщик: № строки</t>
  </si>
  <si>
    <t xml:space="preserve">Множитель поставки</t>
  </si>
  <si>
    <t xml:space="preserve">Поставка</t>
  </si>
  <si>
    <t xml:space="preserve">№ патента</t>
  </si>
  <si>
    <t xml:space="preserve">Множитель патента</t>
  </si>
  <si>
    <t xml:space="preserve">Патент выдан в цикле</t>
  </si>
  <si>
    <t xml:space="preserve">Цикл продажи</t>
  </si>
  <si>
    <t xml:space="preserve">Продано компании</t>
  </si>
  <si>
    <t xml:space="preserve">Цена продажи по сделке, ₽</t>
  </si>
  <si>
    <t xml:space="preserve">Работает в текущем цикле</t>
  </si>
  <si>
    <t xml:space="preserve">Индекс события</t>
  </si>
  <si>
    <t xml:space="preserve">Оценка (в капитал), ₽</t>
  </si>
  <si>
    <t xml:space="preserve">Получено при продаже, ₽</t>
  </si>
  <si>
    <t xml:space="preserve">Статус</t>
  </si>
  <si>
    <t xml:space="preserve">Основание скидки</t>
  </si>
  <si>
    <t xml:space="preserve">Бизнес-пара: № строки партнёра</t>
  </si>
  <si>
    <t xml:space="preserve">НАУКА — патенты</t>
  </si>
  <si>
    <t xml:space="preserve">№ патента ставится сам — его вписывают в строку здания на листе ИНФРАСТРУКТУРА. Экономический: множитель ×1,2 / ×1,5 (макс. ×2). Социальный: фиксированная выплата за цикл. Патент действует со следующего цикла. Не больше 2 разных патентов на компанию (настройка на листе ИНФА). Патент можно применить к зданию другой компании по лицензии или соглашению («Сломай игру»): впишите № патента в строку её здания; деньги за лицензию или аукцион — на листе БАНК, «Расчёты». Пример: «Прорыв · Энергосберегающие лампы · Экономический · 1,2 · цикл 3 · да».</t>
  </si>
  <si>
    <t xml:space="preserve">Название патента</t>
  </si>
  <si>
    <t xml:space="preserve">Множитель дохода здания</t>
  </si>
  <si>
    <t xml:space="preserve">Фикс. выплата за цикл, ₽</t>
  </si>
  <si>
    <t xml:space="preserve">Подтверждён (штамп)</t>
  </si>
  <si>
    <t xml:space="preserve">Действует до цикла</t>
  </si>
  <si>
    <t xml:space="preserve">Комментарий</t>
  </si>
  <si>
    <t xml:space="preserve">Множитель к применению</t>
  </si>
  <si>
    <t xml:space="preserve">БИРЖА ТРУДА — профессии компаний, повышения, журнал, найм</t>
  </si>
  <si>
    <t xml:space="preserve">Профессии уже разложены по компаниям (как в конвертах). Впишите имя игрока. Повышение: впишите номер цикла в «до ур. 2» или «до ур. 3» — уровень и выплата за обучение посчитаются сами; выплата приходит с доходом следующего цикла (лист БАНК). Уровень не сгорает. Не больше 1 повышения на компанию за цикл; уровень 3 — не в одном цикле с уровнем 2.</t>
  </si>
  <si>
    <t xml:space="preserve">Профессии по компаниям</t>
  </si>
  <si>
    <t xml:space="preserve">Журнал применений (ведёт станция, где применили)</t>
  </si>
  <si>
    <t xml:space="preserve">Найм и переманивание — заказ специалиста другой компанией</t>
  </si>
  <si>
    <t xml:space="preserve">№ карточки</t>
  </si>
  <si>
    <t xml:space="preserve">Игрок</t>
  </si>
  <si>
    <t xml:space="preserve">Профессия</t>
  </si>
  <si>
    <t xml:space="preserve">Повышение до ур. 2 — цикл</t>
  </si>
  <si>
    <t xml:space="preserve">Повышение до ур. 3 — цикл</t>
  </si>
  <si>
    <t xml:space="preserve">Уровень</t>
  </si>
  <si>
    <t xml:space="preserve">Бонус уровня, ₽</t>
  </si>
  <si>
    <t xml:space="preserve">Тип эффекта</t>
  </si>
  <si>
    <t xml:space="preserve">Где применяется</t>
  </si>
  <si>
    <t xml:space="preserve">Выплата за обучение, ₽</t>
  </si>
  <si>
    <t xml:space="preserve">Уровень (сам)</t>
  </si>
  <si>
    <t xml:space="preserve">Сумма эффекта, ₽</t>
  </si>
  <si>
    <t xml:space="preserve">Где применено</t>
  </si>
  <si>
    <t xml:space="preserve">К чему применено</t>
  </si>
  <si>
    <t xml:space="preserve">Продавец (компания)</t>
  </si>
  <si>
    <t xml:space="preserve">Покупатель (компания)</t>
  </si>
  <si>
    <t xml:space="preserve">Цена, ₽</t>
  </si>
  <si>
    <t xml:space="preserve">Основание</t>
  </si>
  <si>
    <t xml:space="preserve">Экономист</t>
  </si>
  <si>
    <t xml:space="preserve">Маркетолог</t>
  </si>
  <si>
    <t xml:space="preserve">Технолог</t>
  </si>
  <si>
    <t xml:space="preserve">Логист</t>
  </si>
  <si>
    <t xml:space="preserve">Энергетик</t>
  </si>
  <si>
    <t xml:space="preserve">Юрист</t>
  </si>
  <si>
    <t xml:space="preserve">Строитель</t>
  </si>
  <si>
    <t xml:space="preserve">SMM-специалист</t>
  </si>
  <si>
    <t xml:space="preserve">Копирайтер</t>
  </si>
  <si>
    <t xml:space="preserve">Специалист по качеству</t>
  </si>
  <si>
    <t xml:space="preserve">Эколог</t>
  </si>
  <si>
    <t xml:space="preserve">Аудитор</t>
  </si>
  <si>
    <t xml:space="preserve">Аналитик данных</t>
  </si>
  <si>
    <t xml:space="preserve">Продуктовый менеджер</t>
  </si>
  <si>
    <t xml:space="preserve">Архитектор</t>
  </si>
  <si>
    <t xml:space="preserve">Управляющий недвижимостью</t>
  </si>
  <si>
    <t xml:space="preserve">PR-специалист</t>
  </si>
  <si>
    <t xml:space="preserve">Медиатор</t>
  </si>
  <si>
    <t xml:space="preserve">Инвестиционный аналитик</t>
  </si>
  <si>
    <t xml:space="preserve">Организатор мероприятий</t>
  </si>
  <si>
    <t xml:space="preserve">Дизайнер</t>
  </si>
  <si>
    <t xml:space="preserve">Специалист по безопасности</t>
  </si>
  <si>
    <t xml:space="preserve">HR-специалист</t>
  </si>
  <si>
    <t xml:space="preserve">Тестировщик</t>
  </si>
  <si>
    <t xml:space="preserve">Предприниматель</t>
  </si>
  <si>
    <t xml:space="preserve">Финансист</t>
  </si>
  <si>
    <t xml:space="preserve">Менеджер продаж</t>
  </si>
  <si>
    <t xml:space="preserve">IT-специалист</t>
  </si>
  <si>
    <t xml:space="preserve">Исследователь клиентов</t>
  </si>
  <si>
    <t xml:space="preserve">Специалист по кибербезопасности</t>
  </si>
  <si>
    <t xml:space="preserve">Инженер</t>
  </si>
  <si>
    <t xml:space="preserve">Бухгалтер</t>
  </si>
  <si>
    <t xml:space="preserve">Бренд-менеджер</t>
  </si>
  <si>
    <t xml:space="preserve">Научный исследователь</t>
  </si>
  <si>
    <t xml:space="preserve">Руководитель проекта</t>
  </si>
  <si>
    <t xml:space="preserve">ПРОФЕССИИ — справочник и состав конвертов</t>
  </si>
  <si>
    <t xml:space="preserve">Суммы по уровням берутся из настроек на листе ИНФА. Бухгалтер — двойная шкала (перенос долга), Инженер на ур. 2–3 действует на два производства (указана сумма на оба). Действует только текущий уровень, один раз за цикл. Задания — из файла «Задания по профессиям» (ур. 1 — ознакомительное, без выплаты).</t>
  </si>
  <si>
    <t xml:space="preserve">Описание</t>
  </si>
  <si>
    <t xml:space="preserve">Действия участника</t>
  </si>
  <si>
    <t xml:space="preserve">Ур. 1, ₽</t>
  </si>
  <si>
    <t xml:space="preserve">Ур. 2, ₽</t>
  </si>
  <si>
    <t xml:space="preserve">Ур. 3, ₽</t>
  </si>
  <si>
    <t xml:space="preserve">Усиление</t>
  </si>
  <si>
    <t xml:space="preserve">Задание ур. 1 (2 мин)</t>
  </si>
  <si>
    <t xml:space="preserve">Задание ур. 2 (4 мин)</t>
  </si>
  <si>
    <t xml:space="preserve">Задание ур. 3 (5 мин)</t>
  </si>
  <si>
    <t xml:space="preserve">Финансы</t>
  </si>
  <si>
    <t xml:space="preserve">Планирует финансирование компании.</t>
  </si>
  <si>
    <t xml:space="preserve">Планирует кредит и снижает проценты при его погашении.</t>
  </si>
  <si>
    <t xml:space="preserve">Кредит</t>
  </si>
  <si>
    <t xml:space="preserve">Уменьшить проценты по одному погашаемому кредиту</t>
  </si>
  <si>
    <t xml:space="preserve">Банк</t>
  </si>
  <si>
    <t xml:space="preserve">Где ошибка в прибыли</t>
  </si>
  <si>
    <t xml:space="preserve">Точка безубыточности</t>
  </si>
  <si>
    <t xml:space="preserve">Инвестиция на два раунда</t>
  </si>
  <si>
    <t xml:space="preserve">Ведёт учёт денег и проверяет расчёты.</t>
  </si>
  <si>
    <t xml:space="preserve">Сверяет кассу и даты погашения; оформляет перенос части долга.</t>
  </si>
  <si>
    <t xml:space="preserve">Перенос долга</t>
  </si>
  <si>
    <t xml:space="preserve">Перенести на один раунд выплату части долга</t>
  </si>
  <si>
    <t xml:space="preserve">Сверка кассы</t>
  </si>
  <si>
    <t xml:space="preserve">Два кредита</t>
  </si>
  <si>
    <t xml:space="preserve">Заморозка и капитал</t>
  </si>
  <si>
    <t xml:space="preserve">Оценивает выгодность вложений.</t>
  </si>
  <si>
    <t xml:space="preserve">Сравнивает окупаемость; обосновывает покупку бизнеса.</t>
  </si>
  <si>
    <t xml:space="preserve">Скидка</t>
  </si>
  <si>
    <t xml:space="preserve">Снизить цену покупки одного бизнеса</t>
  </si>
  <si>
    <t xml:space="preserve">Инфраструктура</t>
  </si>
  <si>
    <t xml:space="preserve">Доход или прибыль</t>
  </si>
  <si>
    <t xml:space="preserve">Выбор на два раунда</t>
  </si>
  <si>
    <t xml:space="preserve">Скидка и минимальная цена</t>
  </si>
  <si>
    <t xml:space="preserve">Выбирает направления развития.</t>
  </si>
  <si>
    <t xml:space="preserve">Сравнивает варианты вложений и планирует запуск нового бизнеса.</t>
  </si>
  <si>
    <t xml:space="preserve">Доход</t>
  </si>
  <si>
    <t xml:space="preserve">Увеличить доход одного бизнеса, впервые купленного компанией в этом раунде</t>
  </si>
  <si>
    <t xml:space="preserve">Банк (при выплате)</t>
  </si>
  <si>
    <t xml:space="preserve">Окупаемость</t>
  </si>
  <si>
    <t xml:space="preserve">Плохой сценарий</t>
  </si>
  <si>
    <t xml:space="preserve">Инвестиционное заключение</t>
  </si>
  <si>
    <t xml:space="preserve">Находит ошибки в учёте.</t>
  </si>
  <si>
    <t xml:space="preserve">Проверяет расчёт другой компании с её согласия; представляет акт сверки.</t>
  </si>
  <si>
    <t xml:space="preserve">Штраф</t>
  </si>
  <si>
    <t xml:space="preserve">Уменьшить один предъявленный компании игровой денежный штраф</t>
  </si>
  <si>
    <t xml:space="preserve">Гражданские сервисы</t>
  </si>
  <si>
    <t xml:space="preserve">Двойная запись</t>
  </si>
  <si>
    <t xml:space="preserve">Проверка выплат</t>
  </si>
  <si>
    <t xml:space="preserve">Проверка другой компании</t>
  </si>
  <si>
    <t xml:space="preserve">Маркетинг и продажи</t>
  </si>
  <si>
    <t xml:space="preserve">Привлекает клиентов.</t>
  </si>
  <si>
    <t xml:space="preserve">Определяет аудиторию и предлагает рекламное сообщение.</t>
  </si>
  <si>
    <t xml:space="preserve">Добавить к доходу одного магазина или кафе</t>
  </si>
  <si>
    <t xml:space="preserve">Кому продаём</t>
  </si>
  <si>
    <t xml:space="preserve">Какой канал эффективнее</t>
  </si>
  <si>
    <t xml:space="preserve">Проверить рекламу</t>
  </si>
  <si>
    <t xml:space="preserve">Помогает заключать сделки.</t>
  </si>
  <si>
    <t xml:space="preserve">Находит заказчика; согласует результат и стоимость услуги.</t>
  </si>
  <si>
    <t xml:space="preserve">Увеличить доход одного магазина или пекарни</t>
  </si>
  <si>
    <t xml:space="preserve">Выяснить потребность</t>
  </si>
  <si>
    <t xml:space="preserve">Предложение в бюджете</t>
  </si>
  <si>
    <t xml:space="preserve">Закрыть заказ</t>
  </si>
  <si>
    <t xml:space="preserve">Формирует репутацию компании.</t>
  </si>
  <si>
    <t xml:space="preserve">Готовит публичное сообщение о подтверждённом результате компании.</t>
  </si>
  <si>
    <t xml:space="preserve">Проект</t>
  </si>
  <si>
    <t xml:space="preserve">Увеличить денежный результат одного принятого проекта гражданских сервисов</t>
  </si>
  <si>
    <t xml:space="preserve">Факт вместо обещания</t>
  </si>
  <si>
    <t xml:space="preserve">Ответ на жалобу</t>
  </si>
  <si>
    <t xml:space="preserve">Публичный отчёт</t>
  </si>
  <si>
    <t xml:space="preserve">Продвигает компанию через контент.</t>
  </si>
  <si>
    <t xml:space="preserve">Создаёт макет публикации с аудиторией и понятным призывом к действию.</t>
  </si>
  <si>
    <t xml:space="preserve">Добавить к доходу одного кафе, магазина или кинотеатра</t>
  </si>
  <si>
    <t xml:space="preserve">Публикация с действием</t>
  </si>
  <si>
    <t xml:space="preserve">План контента</t>
  </si>
  <si>
    <t xml:space="preserve">Сравнить результаты</t>
  </si>
  <si>
    <t xml:space="preserve">Создаёт узнаваемый образ бизнеса.</t>
  </si>
  <si>
    <t xml:space="preserve">Формулирует позиционирование; оформляет название и фирменное обещание.</t>
  </si>
  <si>
    <t xml:space="preserve">Добавить к доходу одного отеля или бизнес-центра</t>
  </si>
  <si>
    <t xml:space="preserve">Обещание бренда</t>
  </si>
  <si>
    <t xml:space="preserve">Единый стиль</t>
  </si>
  <si>
    <t xml:space="preserve">Репутационный выбор</t>
  </si>
  <si>
    <t xml:space="preserve">Продукт и клиент</t>
  </si>
  <si>
    <t xml:space="preserve">Делает продукт удобным и понятным.</t>
  </si>
  <si>
    <t xml:space="preserve">Рисует макет вывески, пространства или интерфейса и объясняет выбор.</t>
  </si>
  <si>
    <t xml:space="preserve">Снизить цену покупки кафе, магазина или кинотеатра</t>
  </si>
  <si>
    <t xml:space="preserve">Главное на афише</t>
  </si>
  <si>
    <t xml:space="preserve">Понятная табличка</t>
  </si>
  <si>
    <t xml:space="preserve">Проверить интерфейс</t>
  </si>
  <si>
    <t xml:space="preserve">Пишет понятные тексты.</t>
  </si>
  <si>
    <t xml:space="preserve">Создаёт предложение для клиента без неподтверждённых обещаний.</t>
  </si>
  <si>
    <t xml:space="preserve">Увеличить доход одного кафе или кинотеатра</t>
  </si>
  <si>
    <t xml:space="preserve">Сократить объявление</t>
  </si>
  <si>
    <t xml:space="preserve">Понятная инструкция</t>
  </si>
  <si>
    <t xml:space="preserve">Текст для двух аудиторий</t>
  </si>
  <si>
    <t xml:space="preserve">Выясняет потребности пользователей.</t>
  </si>
  <si>
    <t xml:space="preserve">Опрашивает представителей других компаний; оформляет выводы.</t>
  </si>
  <si>
    <t xml:space="preserve">Увеличить доход одного магазина или отеля</t>
  </si>
  <si>
    <t xml:space="preserve">Нейтральный вопрос</t>
  </si>
  <si>
    <t xml:space="preserve">Короткое интервью</t>
  </si>
  <si>
    <t xml:space="preserve">Вывод из трёх интервью</t>
  </si>
  <si>
    <t xml:space="preserve">Соединяет потребность клиента и бизнес-решение.</t>
  </si>
  <si>
    <t xml:space="preserve">Предлагает улучшение услуги и способ проверить спрос.</t>
  </si>
  <si>
    <t xml:space="preserve">Добавить к доходу одного магазина, кафе или мастерской</t>
  </si>
  <si>
    <t xml:space="preserve">Решение или потребность</t>
  </si>
  <si>
    <t xml:space="preserve">Минимальная версия</t>
  </si>
  <si>
    <t xml:space="preserve">Критерий успеха</t>
  </si>
  <si>
    <t xml:space="preserve">Запускает новые направления.</t>
  </si>
  <si>
    <t xml:space="preserve">Защищает бизнес-модель с клиентом, ценой и расходами.</t>
  </si>
  <si>
    <t xml:space="preserve">Увеличить доход первого нового бизнеса компании в текущем раунде</t>
  </si>
  <si>
    <t xml:space="preserve">Потребность клиента</t>
  </si>
  <si>
    <t xml:space="preserve">Экономика услуги</t>
  </si>
  <si>
    <t xml:space="preserve">Проверка спроса</t>
  </si>
  <si>
    <t xml:space="preserve">Улучшает работу производства.</t>
  </si>
  <si>
    <t xml:space="preserve">Находит узкое место и предлагает техническое изменение.</t>
  </si>
  <si>
    <t xml:space="preserve">Ур. 1: одно производство +500; ур. 2: два производства по +500; ур. 3: два производства по +1 000</t>
  </si>
  <si>
    <t xml:space="preserve">Узкое место</t>
  </si>
  <si>
    <t xml:space="preserve">План улучшения</t>
  </si>
  <si>
    <t xml:space="preserve">Проверка гипотезы</t>
  </si>
  <si>
    <t xml:space="preserve">Настраивает последовательность операций.</t>
  </si>
  <si>
    <t xml:space="preserve">Составляет схему процесса и сокращает лишние этапы.</t>
  </si>
  <si>
    <t xml:space="preserve">Добавить к доходу пищевого комбината, пекарни или мастерской</t>
  </si>
  <si>
    <t xml:space="preserve">Лишний шаг</t>
  </si>
  <si>
    <t xml:space="preserve">Длительность процесса</t>
  </si>
  <si>
    <t xml:space="preserve">Улучшение без ухудшения качества</t>
  </si>
  <si>
    <t xml:space="preserve">Сокращает ошибки и брак.</t>
  </si>
  <si>
    <t xml:space="preserve">Разрабатывает чек-лист проверки и критерии приёмки.</t>
  </si>
  <si>
    <t xml:space="preserve">Добавить к доходу одного завода или мастерской</t>
  </si>
  <si>
    <t xml:space="preserve">Критерий приёмки</t>
  </si>
  <si>
    <t xml:space="preserve">Доля ошибок</t>
  </si>
  <si>
    <t xml:space="preserve">План предотвращения</t>
  </si>
  <si>
    <t xml:space="preserve">Организует доставку и размещение.</t>
  </si>
  <si>
    <t xml:space="preserve">Планирует маршрут и порядок поставки оборудования.</t>
  </si>
  <si>
    <t xml:space="preserve">Снизить цену покупки завода, лесопилки или электростанции</t>
  </si>
  <si>
    <t xml:space="preserve">Выбрать маршрут</t>
  </si>
  <si>
    <t xml:space="preserve">Вместимость машины</t>
  </si>
  <si>
    <t xml:space="preserve">Срыв поставки</t>
  </si>
  <si>
    <t xml:space="preserve">Проектирует объекты и пространства.</t>
  </si>
  <si>
    <t xml:space="preserve">Рисует план объекта с учётом потребностей пользователей.</t>
  </si>
  <si>
    <t xml:space="preserve">Снизить цену покупки дома, отеля или бизнес-центра</t>
  </si>
  <si>
    <t xml:space="preserve">Зонирование</t>
  </si>
  <si>
    <t xml:space="preserve">Площадь зон</t>
  </si>
  <si>
    <t xml:space="preserve">Компромисс в пространстве</t>
  </si>
  <si>
    <t xml:space="preserve">Недвижимость и инфраструктура</t>
  </si>
  <si>
    <t xml:space="preserve">Организует строительные работы.</t>
  </si>
  <si>
    <t xml:space="preserve">Составляет последовательность работ и проверяет готовность объекта.</t>
  </si>
  <si>
    <t xml:space="preserve">Снизить цену покупки одного здания, кроме парка</t>
  </si>
  <si>
    <t xml:space="preserve">Последовательность работ</t>
  </si>
  <si>
    <t xml:space="preserve">План по времени</t>
  </si>
  <si>
    <t xml:space="preserve">Скрытый дефект</t>
  </si>
  <si>
    <t xml:space="preserve">Повышает эффективность использования помещений.</t>
  </si>
  <si>
    <t xml:space="preserve">Предлагает размещение арендаторов и план обслуживания.</t>
  </si>
  <si>
    <t xml:space="preserve">Добавить к доходу одного дома, отеля или бизнес-центра</t>
  </si>
  <si>
    <t xml:space="preserve">Загрузка помещений</t>
  </si>
  <si>
    <t xml:space="preserve">Доход и обслуживание</t>
  </si>
  <si>
    <t xml:space="preserve">Выбор арендатора</t>
  </si>
  <si>
    <t xml:space="preserve">Повышает эффективность энергосистем.</t>
  </si>
  <si>
    <t xml:space="preserve">Анализирует расход энергии в учебном кейсе и предлагает улучшения.</t>
  </si>
  <si>
    <t xml:space="preserve">Добавить к доходу одной электростанции</t>
  </si>
  <si>
    <t xml:space="preserve">Потребление</t>
  </si>
  <si>
    <t xml:space="preserve">Сравнение оборудования</t>
  </si>
  <si>
    <t xml:space="preserve">Ограничение мощности</t>
  </si>
  <si>
    <t xml:space="preserve">Снижает воздействие бизнеса на среду.</t>
  </si>
  <si>
    <t xml:space="preserve">Обосновывает экологическое улучшение и измеримый результат.</t>
  </si>
  <si>
    <t xml:space="preserve">Увеличить денежный результат одного принятого экологического проекта компании</t>
  </si>
  <si>
    <t xml:space="preserve">Экологическое обещание</t>
  </si>
  <si>
    <t xml:space="preserve">Экономия электричества</t>
  </si>
  <si>
    <t xml:space="preserve">Выбрать меру</t>
  </si>
  <si>
    <t xml:space="preserve">Предупреждает риски и сбои.</t>
  </si>
  <si>
    <t xml:space="preserve">Находит опасные точки в учебной схеме и составляет план мер.</t>
  </si>
  <si>
    <t xml:space="preserve">Добавить к доходу одного завода, кинотеатра или отеля</t>
  </si>
  <si>
    <t xml:space="preserve">Опасности на схеме</t>
  </si>
  <si>
    <t xml:space="preserve">Приоритет мер</t>
  </si>
  <si>
    <t xml:space="preserve">Безопасное мероприятие</t>
  </si>
  <si>
    <t xml:space="preserve">Цифра и наука</t>
  </si>
  <si>
    <t xml:space="preserve">Автоматизирует повторяющиеся действия.</t>
  </si>
  <si>
    <t xml:space="preserve">Рисует алгоритм цифрового сервиса и обрабатывает ошибки.</t>
  </si>
  <si>
    <t xml:space="preserve">Добавить к доходу одной мастерской или бизнес-центра</t>
  </si>
  <si>
    <t xml:space="preserve">Ошибка в алгоритме</t>
  </si>
  <si>
    <t xml:space="preserve">Проверить границу</t>
  </si>
  <si>
    <t xml:space="preserve">Двойное нажатие</t>
  </si>
  <si>
    <t xml:space="preserve">Превращает сведения в решения.</t>
  </si>
  <si>
    <t xml:space="preserve">Сравнивает показатели компаний; показывает вывод в таблице или графике.</t>
  </si>
  <si>
    <t xml:space="preserve">Увеличить доход одного выбранного бизнеса компании</t>
  </si>
  <si>
    <t xml:space="preserve">Среднее значение</t>
  </si>
  <si>
    <t xml:space="preserve">Сравнить компании</t>
  </si>
  <si>
    <t xml:space="preserve">Необоснованная причинность</t>
  </si>
  <si>
    <t xml:space="preserve">Проверяет работоспособность решений.</t>
  </si>
  <si>
    <t xml:space="preserve">Испытывает чужой макет; фиксирует ожидаемый и фактический результат.</t>
  </si>
  <si>
    <t xml:space="preserve">Уменьшить один штраф за некачественное исполнение</t>
  </si>
  <si>
    <t xml:space="preserve">Ожидаемый результат</t>
  </si>
  <si>
    <t xml:space="preserve">Набор проверок</t>
  </si>
  <si>
    <t xml:space="preserve">Отчёт об ошибке</t>
  </si>
  <si>
    <t xml:space="preserve">Защищает информацию и доступ.</t>
  </si>
  <si>
    <t xml:space="preserve">Находит риски в учебном сервисе и предлагает меры без реального взлома.</t>
  </si>
  <si>
    <t xml:space="preserve">Защита</t>
  </si>
  <si>
    <t xml:space="preserve">Уменьшить денежную потерю компании по одному событию цифрового сбоя</t>
  </si>
  <si>
    <t xml:space="preserve">Банк (при событии)</t>
  </si>
  <si>
    <t xml:space="preserve">Подозрительное сообщение</t>
  </si>
  <si>
    <t xml:space="preserve">Права доступа</t>
  </si>
  <si>
    <t xml:space="preserve">План после утечки</t>
  </si>
  <si>
    <t xml:space="preserve">Разрабатывает и проверяет гипотезы.</t>
  </si>
  <si>
    <t xml:space="preserve">Помогает оформить собственную разработку и план её проверки.</t>
  </si>
  <si>
    <t xml:space="preserve">Увеличить денежную прибавку от одного действующего патента на доход производства</t>
  </si>
  <si>
    <t xml:space="preserve">Проверяемая гипотеза</t>
  </si>
  <si>
    <t xml:space="preserve">План эксперимента</t>
  </si>
  <si>
    <t xml:space="preserve">Защита разработки</t>
  </si>
  <si>
    <t xml:space="preserve">Люди и право</t>
  </si>
  <si>
    <t xml:space="preserve">Делает договорённости проверяемыми.</t>
  </si>
  <si>
    <t xml:space="preserve">Описывает предмет, срок, оплату и приёмку межкомпанейской сделки.</t>
  </si>
  <si>
    <t xml:space="preserve">Уменьшить один договорный штраф компании</t>
  </si>
  <si>
    <t xml:space="preserve">Непонятная договорённость</t>
  </si>
  <si>
    <t xml:space="preserve">Составить условия сделки</t>
  </si>
  <si>
    <t xml:space="preserve">Разрешить спор</t>
  </si>
  <si>
    <t xml:space="preserve">Подбирает людей под задачи.</t>
  </si>
  <si>
    <t xml:space="preserve">Согласует роль специалиста, условия найма и ожидаемый результат.</t>
  </si>
  <si>
    <t xml:space="preserve">Увеличить денежный результат от одного выполненного заказа по найму</t>
  </si>
  <si>
    <t xml:space="preserve">Распределить роли</t>
  </si>
  <si>
    <t xml:space="preserve">План на 12 минут</t>
  </si>
  <si>
    <t xml:space="preserve">Рабочий конфликт</t>
  </si>
  <si>
    <t xml:space="preserve">Организует командную работу.</t>
  </si>
  <si>
    <t xml:space="preserve">Распределяет роли, сроки и порядок проверки общего результата.</t>
  </si>
  <si>
    <t xml:space="preserve">Увеличить денежный результат от одного принятого совместного проекта</t>
  </si>
  <si>
    <t xml:space="preserve">Цель проекта</t>
  </si>
  <si>
    <t xml:space="preserve">Критический путь</t>
  </si>
  <si>
    <t xml:space="preserve">Изменение плана</t>
  </si>
  <si>
    <t xml:space="preserve">Помогает сторонам договориться.</t>
  </si>
  <si>
    <t xml:space="preserve">Выслушивает компании и фиксирует добровольное решение игрового спора.</t>
  </si>
  <si>
    <t xml:space="preserve">Уменьшить один штраф компании по урегулированному спору</t>
  </si>
  <si>
    <t xml:space="preserve">Нейтральное перефразирование</t>
  </si>
  <si>
    <t xml:space="preserve">Интересы сторон</t>
  </si>
  <si>
    <t xml:space="preserve">Медиативное соглашение</t>
  </si>
  <si>
    <t xml:space="preserve">Создаёт события для людей.</t>
  </si>
  <si>
    <t xml:space="preserve">Готовит программу, роли и бюджет события под конкретную аудиторию.</t>
  </si>
  <si>
    <t xml:space="preserve">Добавить к доходу одного кинотеатра, кафе или отеля</t>
  </si>
  <si>
    <t xml:space="preserve">Программа встречи</t>
  </si>
  <si>
    <t xml:space="preserve">Бюджет события</t>
  </si>
  <si>
    <t xml:space="preserve">Отмена выступления</t>
  </si>
  <si>
    <t xml:space="preserve">Состав конвертов (конверты 7–12 = 1–6, второй комплект карточек)</t>
  </si>
  <si>
    <t xml:space="preserve">Конверт</t>
  </si>
  <si>
    <t xml:space="preserve">Профессия 1</t>
  </si>
  <si>
    <t xml:space="preserve">Профессия 2</t>
  </si>
  <si>
    <t xml:space="preserve">Профессия 3</t>
  </si>
  <si>
    <t xml:space="preserve">Профессия 4</t>
  </si>
  <si>
    <t xml:space="preserve">Профессия 5</t>
  </si>
  <si>
    <t xml:space="preserve">Профессия 6</t>
  </si>
  <si>
    <t xml:space="preserve">1 и 7</t>
  </si>
  <si>
    <t xml:space="preserve">2 и 8</t>
  </si>
  <si>
    <t xml:space="preserve">3 и 9</t>
  </si>
  <si>
    <t xml:space="preserve">4 и 10</t>
  </si>
  <si>
    <t xml:space="preserve">5 и 11</t>
  </si>
  <si>
    <t xml:space="preserve">6 и 12</t>
  </si>
  <si>
    <t xml:space="preserve">ГРАЖДАНСКИЕ СЕРВИСЫ — проекты для города и штрафы</t>
  </si>
  <si>
    <t xml:space="preserve">Проект: команда предлагает пользу для города (благоустройство, сервис, событие). Ведущий принимает и назначает сумму; бонус дают PR-специалист, Эколог, HR-специалист, Руководитель проекта. Штраф = нарушение правил; снижают Аудитор, Юрист, Медиатор, Тестировщик.</t>
  </si>
  <si>
    <t xml:space="preserve">Проекты для города</t>
  </si>
  <si>
    <t xml:space="preserve">Штраф — пусто = базовый (лист ИНФА)</t>
  </si>
  <si>
    <t xml:space="preserve">Проект №</t>
  </si>
  <si>
    <t xml:space="preserve">Бонус профессии, ₽</t>
  </si>
  <si>
    <t xml:space="preserve">Принят</t>
  </si>
  <si>
    <t xml:space="preserve">Цикл выплаты</t>
  </si>
  <si>
    <t xml:space="preserve">Итого выплачено, ₽</t>
  </si>
  <si>
    <t xml:space="preserve">Нарушение</t>
  </si>
  <si>
    <t xml:space="preserve">Штраф, ₽</t>
  </si>
  <si>
    <t xml:space="preserve">Снижение (профессия), ₽</t>
  </si>
  <si>
    <t xml:space="preserve">Итог штрафа, ₽</t>
  </si>
  <si>
    <t xml:space="preserve">Оплачен</t>
  </si>
  <si>
    <t xml:space="preserve">Цикл оплаты</t>
  </si>
  <si>
    <t xml:space="preserve">МЕХАНИКИ — разовые бонусы сцены, ведущего и станций</t>
  </si>
  <si>
    <t xml:space="preserve">Одна строка = одна награда одной компании. Выберите механику — награда подставится из справочника справа (жёлтая ячейка «Награда» перекрывает). Рекламный баттл: роль «победитель» или «участник». Реклама конкурента и «Конкуренты объединились» — по строке на каждую компанию. Деньги выдаёт Банк по этой записи.</t>
  </si>
  <si>
    <t xml:space="preserve">Справочник механик (можно менять суммы)</t>
  </si>
  <si>
    <t xml:space="preserve">Механика</t>
  </si>
  <si>
    <t xml:space="preserve">Роль</t>
  </si>
  <si>
    <t xml:space="preserve">Награда (пусто = по справочнику), ₽</t>
  </si>
  <si>
    <t xml:space="preserve">Итого, ₽</t>
  </si>
  <si>
    <t xml:space="preserve">Награда, ₽</t>
  </si>
  <si>
    <t xml:space="preserve">Награда участнику, ₽</t>
  </si>
  <si>
    <t xml:space="preserve">Как работает</t>
  </si>
  <si>
    <t xml:space="preserve">Свободный микрофон</t>
  </si>
  <si>
    <t xml:space="preserve">Сцена</t>
  </si>
  <si>
    <t xml:space="preserve">История о самой невероятной покупке за 40 секунд. В исходнике «+5 000 ₽ кредита» — согласовать</t>
  </si>
  <si>
    <t xml:space="preserve">Реклама конкурента</t>
  </si>
  <si>
    <t xml:space="preserve">30 секунд рекламы другой компании — обе получают награду</t>
  </si>
  <si>
    <t xml:space="preserve">Рекламный баттл</t>
  </si>
  <si>
    <t xml:space="preserve">«Продайте свой бизнес за 20 секунд», победителя выбирает зал</t>
  </si>
  <si>
    <t xml:space="preserve">Городской мем</t>
  </si>
  <si>
    <t xml:space="preserve">10-секундный ролик: трейлер, гимн, слоган, тренд</t>
  </si>
  <si>
    <t xml:space="preserve">Тренд / флешмоб</t>
  </si>
  <si>
    <t xml:space="preserve">Тренд «67», флешмоб всей командой и т. п.</t>
  </si>
  <si>
    <t xml:space="preserve">Минута контактов</t>
  </si>
  <si>
    <t xml:space="preserve">60 секунд: сделка с двумя новыми компаниями</t>
  </si>
  <si>
    <t xml:space="preserve">День партнёрства</t>
  </si>
  <si>
    <t xml:space="preserve">+50% к бонусу сделок 5 минут — сумму впишите вручную</t>
  </si>
  <si>
    <t xml:space="preserve">Конкуренты объединились</t>
  </si>
  <si>
    <t xml:space="preserve">Совместное предприятие — каждой компании</t>
  </si>
  <si>
    <t xml:space="preserve">Охота за профессией</t>
  </si>
  <si>
    <t xml:space="preserve">Первая компания, которая привела нужного специалиста</t>
  </si>
  <si>
    <t xml:space="preserve">Переманивание</t>
  </si>
  <si>
    <t xml:space="preserve">+1 000 ₽ к зарплате переманенного специалиста — его новой компании</t>
  </si>
  <si>
    <t xml:space="preserve">Другое</t>
  </si>
  <si>
    <t xml:space="preserve">Сумму впишите вручную</t>
  </si>
  <si>
    <t xml:space="preserve">СОБЫТИЯ — по желанию (по умолчанию выключены)</t>
  </si>
  <si>
    <t xml:space="preserve">Двух этапов больше нет, события по умолчанию выключены: все индексы 100%. Если захотите добавить событие — поставьте индекс сферы в нужных циклах и номер цикла в плане ниже; ведущий объявит его, доход пересчитается сам.</t>
  </si>
  <si>
    <t xml:space="preserve">Индекс дохода по циклам</t>
  </si>
  <si>
    <t xml:space="preserve">План событий (цикл пустой — событие в резерве)</t>
  </si>
  <si>
    <t xml:space="preserve">Событие</t>
  </si>
  <si>
    <t xml:space="preserve">Что меняется</t>
  </si>
  <si>
    <t xml:space="preserve">Текст для табло</t>
  </si>
  <si>
    <t xml:space="preserve">Бум стройки</t>
  </si>
  <si>
    <t xml:space="preserve">Производство: доход 120% в циклах 5–6</t>
  </si>
  <si>
    <t xml:space="preserve">Бум стройки! Заводы получают +20% дохода в циклах 5–6</t>
  </si>
  <si>
    <t xml:space="preserve">Кризис спроса</t>
  </si>
  <si>
    <t xml:space="preserve">Торговля и досуг: доход 80% в циклах 7–8</t>
  </si>
  <si>
    <t xml:space="preserve">Кризис спроса! Торговля и досуг получают −20% дохода в циклах 7–8</t>
  </si>
  <si>
    <t xml:space="preserve">Новостройки</t>
  </si>
  <si>
    <t xml:space="preserve">Недвижимость: доход 120% на 2 цикла</t>
  </si>
  <si>
    <t xml:space="preserve">Город растёт! Дома и бизнес-центры +20% дохода</t>
  </si>
  <si>
    <t xml:space="preserve">Туристический сезон</t>
  </si>
  <si>
    <t xml:space="preserve">Торговля и досуг: доход 120% на 2 цикла</t>
  </si>
  <si>
    <t xml:space="preserve">Туристический сезон! Торговля и досуг +20% дохода</t>
  </si>
  <si>
    <t xml:space="preserve">Энергокризис</t>
  </si>
  <si>
    <t xml:space="preserve">Производство: доход 80% на 2 цикла</t>
  </si>
  <si>
    <t xml:space="preserve">Энергокризис! Заводы −20% дохода</t>
  </si>
  <si>
    <t xml:space="preserve">Резервные события используют только во втором и следующих запусках игры. Если меняете цикл события — поменяйте и индексы в таблице выше.</t>
  </si>
  <si>
    <t xml:space="preserve">КАССА — денежная масса и сверка</t>
  </si>
  <si>
    <t xml:space="preserve">Банк — единственный, кто выдаёт деньги; все оплаты (покупки, погашения, штрафы) возвращаются в кассу Банка. «В обороте» — сколько денег сейчас на руках у команд. «Сверка»: в конце цикла (или игры) кассир пересчитывает купюры — должно совпасть с «Касса должна быть».</t>
  </si>
  <si>
    <t xml:space="preserve">Показатель</t>
  </si>
  <si>
    <t xml:space="preserve">Итого</t>
  </si>
  <si>
    <t xml:space="preserve">ВЫДАНО</t>
  </si>
  <si>
    <t xml:space="preserve">Стартовый капитал (конверты)</t>
  </si>
  <si>
    <t xml:space="preserve">Доходы и выплаты за обучение (лист БАНК)</t>
  </si>
  <si>
    <t xml:space="preserve">Кредиты выданы</t>
  </si>
  <si>
    <t xml:space="preserve">Бонусы поручителям</t>
  </si>
  <si>
    <t xml:space="preserve">Выкуп зданий Инфраструктурой</t>
  </si>
  <si>
    <t xml:space="preserve">Механики (сцена, ведущий, станции)</t>
  </si>
  <si>
    <t xml:space="preserve">Итого выдано</t>
  </si>
  <si>
    <t xml:space="preserve">ВЕРНУЛОСЬ В КАССУ</t>
  </si>
  <si>
    <t xml:space="preserve">Покупки у Инфраструктуры</t>
  </si>
  <si>
    <t xml:space="preserve">Погашения кредитов</t>
  </si>
  <si>
    <t xml:space="preserve">Штрафы оплачены</t>
  </si>
  <si>
    <t xml:space="preserve">Итого вернулось</t>
  </si>
  <si>
    <t xml:space="preserve">В обороте у команд на конец цикла</t>
  </si>
  <si>
    <t xml:space="preserve">В среднем на одну команду</t>
  </si>
  <si>
    <t xml:space="preserve">Касса Банка должна быть</t>
  </si>
  <si>
    <t xml:space="preserve">Касса по факту (пересчёт кассира)</t>
  </si>
  <si>
    <t xml:space="preserve">Расхождение</t>
  </si>
  <si>
    <t xml:space="preserve">Ориентир по модели: при 6 командах на руках одновременно 20–40 тыс. ₽, при 12 командах — до 55 тыс. ₽. Если «В среднем на команду» растёт быстрее 10 тыс. ₽ за цикл — проверьте выплаты.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</si>
</sst>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#,##0"/>
    <numFmt numFmtId="167" formatCode="0%"/>
    <numFmt numFmtId="168" formatCode="0.0"/>
    <numFmt numFmtId="169" formatCode="General"/>
    <numFmt numFmtId="170" formatCode="0.0#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9B3642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9B364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22"/>
      <color rgb="FF9B3642"/>
      <name val="Arial"/>
      <family val="0"/>
      <charset val="1"/>
    </font>
    <font>
      <b val="true"/>
      <sz val="16"/>
      <color rgb="FF222222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3"/>
      <name val="Arial"/>
      <family val="0"/>
      <charset val="1"/>
    </font>
    <font>
      <sz val="13"/>
      <name val="Arial"/>
      <family val="0"/>
      <charset val="1"/>
    </font>
    <font>
      <b val="true"/>
      <sz val="11"/>
      <color rgb="FF9B3642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9B3642"/>
        <bgColor rgb="FF993300"/>
      </patternFill>
    </fill>
    <fill>
      <patternFill patternType="solid">
        <fgColor rgb="FFF6E3E6"/>
        <bgColor rgb="FFEEF3F8"/>
      </patternFill>
    </fill>
    <fill>
      <patternFill patternType="solid">
        <fgColor rgb="FFFFF7D6"/>
        <bgColor rgb="FFFFFFFF"/>
      </patternFill>
    </fill>
    <fill>
      <patternFill patternType="solid">
        <fgColor rgb="FFEEF3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548235"/>
      <rgbColor rgb="FF000080"/>
      <rgbColor rgb="FF7F6000"/>
      <rgbColor rgb="FF800080"/>
      <rgbColor rgb="FF008080"/>
      <rgbColor rgb="FFC0C0C0"/>
      <rgbColor rgb="FF7F7F7F"/>
      <rgbColor rgb="FF9999FF"/>
      <rgbColor rgb="FF9B3642"/>
      <rgbColor rgb="FFFFF7D6"/>
      <rgbColor rgb="FFEEF3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6E3E6"/>
      <rgbColor rgb="FF2E75B6"/>
      <rgbColor rgb="FF33CCCC"/>
      <rgbColor rgb="FF99CC00"/>
      <rgbColor rgb="FFFFC000"/>
      <rgbColor rgb="FFBF9000"/>
      <rgbColor rgb="FFC55A11"/>
      <rgbColor rgb="FF666666"/>
      <rgbColor rgb="FF969696"/>
      <rgbColor rgb="FF003366"/>
      <rgbColor rgb="FF40A89C"/>
      <rgbColor rgb="FF003300"/>
      <rgbColor rgb="FF595959"/>
      <rgbColor rgb="FF993300"/>
      <rgbColor rgb="FF7030A0"/>
      <rgbColor rgb="FF1F4E7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0A89C"/>
    <pageSetUpPr fitToPage="false"/>
  </sheetPr>
  <dimension ref="A1:C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4"/>
      <c r="C4" s="4"/>
    </row>
    <row r="5" customFormat="false" ht="33" hidden="false" customHeight="true" outlineLevel="0" collapsed="false">
      <c r="A5" s="5" t="s">
        <v>3</v>
      </c>
      <c r="B5" s="6" t="s">
        <v>4</v>
      </c>
      <c r="C5" s="6" t="s">
        <v>5</v>
      </c>
    </row>
    <row r="6" customFormat="false" ht="33" hidden="false" customHeight="true" outlineLevel="0" collapsed="false">
      <c r="A6" s="5" t="s">
        <v>6</v>
      </c>
      <c r="B6" s="6" t="s">
        <v>7</v>
      </c>
      <c r="C6" s="6" t="s">
        <v>8</v>
      </c>
    </row>
    <row r="7" customFormat="false" ht="46.5" hidden="false" customHeight="true" outlineLevel="0" collapsed="false">
      <c r="A7" s="5" t="s">
        <v>9</v>
      </c>
      <c r="B7" s="6" t="s">
        <v>10</v>
      </c>
      <c r="C7" s="6" t="s">
        <v>11</v>
      </c>
    </row>
    <row r="8" customFormat="false" ht="33" hidden="false" customHeight="true" outlineLevel="0" collapsed="false">
      <c r="A8" s="5" t="s">
        <v>12</v>
      </c>
      <c r="B8" s="6" t="s">
        <v>13</v>
      </c>
      <c r="C8" s="6" t="s">
        <v>14</v>
      </c>
    </row>
    <row r="10" customFormat="false" ht="21.75" hidden="false" customHeight="true" outlineLevel="0" collapsed="false">
      <c r="A10" s="3" t="s">
        <v>15</v>
      </c>
      <c r="B10" s="4"/>
      <c r="C10" s="4"/>
    </row>
    <row r="11" customFormat="false" ht="15" hidden="false" customHeight="false" outlineLevel="0" collapsed="false">
      <c r="A11" s="7" t="s">
        <v>16</v>
      </c>
      <c r="B11" s="7" t="s">
        <v>17</v>
      </c>
      <c r="C11" s="7" t="s">
        <v>18</v>
      </c>
    </row>
    <row r="12" customFormat="false" ht="33" hidden="false" customHeight="true" outlineLevel="0" collapsed="false">
      <c r="A12" s="5" t="s">
        <v>19</v>
      </c>
      <c r="B12" s="6" t="s">
        <v>20</v>
      </c>
      <c r="C12" s="6" t="s">
        <v>21</v>
      </c>
    </row>
    <row r="13" customFormat="false" ht="33" hidden="false" customHeight="true" outlineLevel="0" collapsed="false">
      <c r="A13" s="5" t="s">
        <v>22</v>
      </c>
      <c r="B13" s="6" t="s">
        <v>20</v>
      </c>
      <c r="C13" s="6" t="s">
        <v>23</v>
      </c>
    </row>
    <row r="14" customFormat="false" ht="60.75" hidden="false" customHeight="true" outlineLevel="0" collapsed="false">
      <c r="A14" s="5" t="s">
        <v>24</v>
      </c>
      <c r="B14" s="6" t="s">
        <v>20</v>
      </c>
      <c r="C14" s="6" t="s">
        <v>25</v>
      </c>
    </row>
    <row r="15" customFormat="false" ht="33" hidden="false" customHeight="true" outlineLevel="0" collapsed="false">
      <c r="A15" s="5" t="s">
        <v>26</v>
      </c>
      <c r="B15" s="6" t="s">
        <v>27</v>
      </c>
      <c r="C15" s="6" t="s">
        <v>28</v>
      </c>
    </row>
    <row r="16" customFormat="false" ht="33" hidden="false" customHeight="true" outlineLevel="0" collapsed="false">
      <c r="A16" s="5" t="s">
        <v>29</v>
      </c>
      <c r="B16" s="6" t="s">
        <v>30</v>
      </c>
      <c r="C16" s="6" t="s">
        <v>31</v>
      </c>
    </row>
    <row r="18" customFormat="false" ht="21.75" hidden="false" customHeight="true" outlineLevel="0" collapsed="false">
      <c r="A18" s="3" t="s">
        <v>32</v>
      </c>
      <c r="B18" s="4"/>
      <c r="C18" s="4"/>
    </row>
    <row r="19" customFormat="false" ht="15" hidden="false" customHeight="false" outlineLevel="0" collapsed="false">
      <c r="A19" s="7" t="s">
        <v>33</v>
      </c>
      <c r="B19" s="7" t="s">
        <v>34</v>
      </c>
      <c r="C19" s="7" t="s">
        <v>35</v>
      </c>
    </row>
    <row r="20" customFormat="false" ht="46.5" hidden="false" customHeight="true" outlineLevel="0" collapsed="false">
      <c r="A20" s="5" t="s">
        <v>36</v>
      </c>
      <c r="B20" s="6" t="s">
        <v>20</v>
      </c>
      <c r="C20" s="6" t="s">
        <v>37</v>
      </c>
    </row>
    <row r="21" customFormat="false" ht="46.5" hidden="false" customHeight="true" outlineLevel="0" collapsed="false">
      <c r="A21" s="5" t="s">
        <v>38</v>
      </c>
      <c r="B21" s="6" t="s">
        <v>39</v>
      </c>
      <c r="C21" s="6" t="s">
        <v>40</v>
      </c>
    </row>
    <row r="22" customFormat="false" ht="33" hidden="false" customHeight="true" outlineLevel="0" collapsed="false">
      <c r="A22" s="5" t="s">
        <v>41</v>
      </c>
      <c r="B22" s="6" t="s">
        <v>42</v>
      </c>
      <c r="C22" s="6" t="s">
        <v>43</v>
      </c>
    </row>
    <row r="23" customFormat="false" ht="60.75" hidden="false" customHeight="true" outlineLevel="0" collapsed="false">
      <c r="A23" s="5" t="s">
        <v>44</v>
      </c>
      <c r="B23" s="6" t="s">
        <v>45</v>
      </c>
      <c r="C23" s="6" t="s">
        <v>46</v>
      </c>
    </row>
    <row r="24" customFormat="false" ht="33" hidden="false" customHeight="true" outlineLevel="0" collapsed="false">
      <c r="A24" s="5" t="s">
        <v>47</v>
      </c>
      <c r="B24" s="6" t="s">
        <v>48</v>
      </c>
      <c r="C24" s="6" t="s">
        <v>49</v>
      </c>
    </row>
    <row r="25" customFormat="false" ht="60.75" hidden="false" customHeight="true" outlineLevel="0" collapsed="false">
      <c r="A25" s="5" t="s">
        <v>50</v>
      </c>
      <c r="B25" s="6" t="s">
        <v>51</v>
      </c>
      <c r="C25" s="6" t="s">
        <v>52</v>
      </c>
    </row>
    <row r="26" customFormat="false" ht="33" hidden="false" customHeight="true" outlineLevel="0" collapsed="false">
      <c r="A26" s="5" t="s">
        <v>53</v>
      </c>
      <c r="B26" s="6" t="s">
        <v>51</v>
      </c>
      <c r="C26" s="6" t="s">
        <v>54</v>
      </c>
    </row>
    <row r="27" customFormat="false" ht="75" hidden="false" customHeight="true" outlineLevel="0" collapsed="false">
      <c r="A27" s="5" t="s">
        <v>55</v>
      </c>
      <c r="B27" s="6" t="s">
        <v>51</v>
      </c>
      <c r="C27" s="6" t="s">
        <v>56</v>
      </c>
    </row>
    <row r="28" customFormat="false" ht="33" hidden="false" customHeight="true" outlineLevel="0" collapsed="false">
      <c r="A28" s="5" t="s">
        <v>57</v>
      </c>
      <c r="B28" s="6" t="s">
        <v>51</v>
      </c>
      <c r="C28" s="6" t="s">
        <v>58</v>
      </c>
    </row>
    <row r="29" customFormat="false" ht="33" hidden="false" customHeight="true" outlineLevel="0" collapsed="false">
      <c r="A29" s="5" t="s">
        <v>59</v>
      </c>
      <c r="B29" s="6" t="s">
        <v>51</v>
      </c>
      <c r="C29" s="6" t="s">
        <v>60</v>
      </c>
    </row>
    <row r="30" customFormat="false" ht="75" hidden="false" customHeight="true" outlineLevel="0" collapsed="false">
      <c r="A30" s="5" t="s">
        <v>61</v>
      </c>
      <c r="B30" s="6" t="s">
        <v>62</v>
      </c>
      <c r="C30" s="6" t="s">
        <v>63</v>
      </c>
    </row>
    <row r="31" customFormat="false" ht="60.75" hidden="false" customHeight="true" outlineLevel="0" collapsed="false">
      <c r="A31" s="5" t="s">
        <v>64</v>
      </c>
      <c r="B31" s="6" t="s">
        <v>27</v>
      </c>
      <c r="C31" s="6" t="s">
        <v>65</v>
      </c>
    </row>
    <row r="32" customFormat="false" ht="46.5" hidden="false" customHeight="true" outlineLevel="0" collapsed="false">
      <c r="A32" s="5" t="s">
        <v>66</v>
      </c>
      <c r="B32" s="6" t="s">
        <v>67</v>
      </c>
      <c r="C32" s="6" t="s">
        <v>68</v>
      </c>
    </row>
    <row r="33" customFormat="false" ht="33" hidden="false" customHeight="true" outlineLevel="0" collapsed="false">
      <c r="A33" s="5" t="s">
        <v>69</v>
      </c>
      <c r="B33" s="6" t="s">
        <v>70</v>
      </c>
      <c r="C33" s="6" t="s">
        <v>71</v>
      </c>
    </row>
    <row r="34" customFormat="false" ht="33" hidden="false" customHeight="true" outlineLevel="0" collapsed="false">
      <c r="A34" s="5" t="s">
        <v>72</v>
      </c>
      <c r="B34" s="6" t="s">
        <v>70</v>
      </c>
      <c r="C34" s="6" t="s">
        <v>73</v>
      </c>
    </row>
    <row r="35" customFormat="false" ht="46.5" hidden="false" customHeight="true" outlineLevel="0" collapsed="false">
      <c r="A35" s="5" t="s">
        <v>74</v>
      </c>
      <c r="B35" s="6" t="s">
        <v>75</v>
      </c>
      <c r="C35" s="6" t="s">
        <v>76</v>
      </c>
    </row>
    <row r="37" customFormat="false" ht="21.75" hidden="false" customHeight="true" outlineLevel="0" collapsed="false">
      <c r="A37" s="3" t="s">
        <v>77</v>
      </c>
      <c r="B37" s="4"/>
      <c r="C37" s="4"/>
    </row>
    <row r="38" customFormat="false" ht="33" hidden="false" customHeight="true" outlineLevel="0" collapsed="false">
      <c r="A38" s="5" t="s">
        <v>78</v>
      </c>
      <c r="B38" s="6" t="s">
        <v>20</v>
      </c>
      <c r="C38" s="6" t="s">
        <v>79</v>
      </c>
    </row>
    <row r="39" customFormat="false" ht="18.75" hidden="false" customHeight="true" outlineLevel="0" collapsed="false">
      <c r="A39" s="5" t="s">
        <v>80</v>
      </c>
      <c r="B39" s="6" t="s">
        <v>81</v>
      </c>
      <c r="C39" s="6" t="s">
        <v>82</v>
      </c>
    </row>
    <row r="40" customFormat="false" ht="33" hidden="false" customHeight="true" outlineLevel="0" collapsed="false">
      <c r="A40" s="5" t="s">
        <v>83</v>
      </c>
      <c r="B40" s="6" t="s">
        <v>84</v>
      </c>
      <c r="C40" s="6" t="s">
        <v>85</v>
      </c>
    </row>
    <row r="42" customFormat="false" ht="21.75" hidden="false" customHeight="true" outlineLevel="0" collapsed="false">
      <c r="A42" s="3" t="s">
        <v>86</v>
      </c>
      <c r="B42" s="4"/>
      <c r="C42" s="4"/>
    </row>
    <row r="43" customFormat="false" ht="18.75" hidden="false" customHeight="true" outlineLevel="0" collapsed="false">
      <c r="A43" s="5" t="s">
        <v>87</v>
      </c>
      <c r="B43" s="6"/>
      <c r="C43" s="6" t="s">
        <v>88</v>
      </c>
    </row>
    <row r="44" customFormat="false" ht="33" hidden="false" customHeight="true" outlineLevel="0" collapsed="false">
      <c r="A44" s="5" t="s">
        <v>89</v>
      </c>
      <c r="B44" s="6"/>
      <c r="C44" s="6" t="s">
        <v>90</v>
      </c>
    </row>
    <row r="45" customFormat="false" ht="46.5" hidden="false" customHeight="true" outlineLevel="0" collapsed="false">
      <c r="A45" s="5" t="s">
        <v>91</v>
      </c>
      <c r="B45" s="6"/>
      <c r="C45" s="6" t="s">
        <v>92</v>
      </c>
    </row>
    <row r="46" customFormat="false" ht="33" hidden="false" customHeight="true" outlineLevel="0" collapsed="false">
      <c r="A46" s="5" t="s">
        <v>93</v>
      </c>
      <c r="B46" s="6"/>
      <c r="C46" s="6" t="s">
        <v>94</v>
      </c>
    </row>
    <row r="47" customFormat="false" ht="33" hidden="false" customHeight="true" outlineLevel="0" collapsed="false">
      <c r="A47" s="5" t="s">
        <v>95</v>
      </c>
      <c r="B47" s="6"/>
      <c r="C47" s="6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B3642"/>
    <pageSetUpPr fitToPage="false"/>
  </sheetPr>
  <dimension ref="A1:S3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5" min="5" style="0" width="34"/>
    <col collapsed="false" customWidth="true" hidden="false" outlineLevel="0" max="6" min="6" style="0" width="13"/>
    <col collapsed="false" customWidth="true" hidden="false" outlineLevel="0" max="7" min="7" style="0" width="48"/>
    <col collapsed="false" customWidth="true" hidden="false" outlineLevel="0" max="9" min="9" style="0" width="30"/>
    <col collapsed="false" customWidth="true" hidden="false" outlineLevel="0" max="10" min="10" style="0" width="13"/>
    <col collapsed="false" customWidth="true" hidden="false" outlineLevel="0" max="11" min="11" style="0" width="18"/>
    <col collapsed="false" customWidth="true" hidden="false" outlineLevel="0" max="12" min="12" style="0" width="30"/>
    <col collapsed="false" customWidth="true" hidden="false" outlineLevel="0" max="13" min="13" style="0" width="13"/>
    <col collapsed="false" customWidth="true" hidden="false" outlineLevel="0" max="16" min="14" style="0" width="11"/>
    <col collapsed="false" customWidth="true" hidden="false" outlineLevel="0" max="17" min="17" style="0" width="9"/>
    <col collapsed="false" customWidth="true" hidden="false" outlineLevel="0" max="18" min="18" style="0" width="10"/>
    <col collapsed="false" customWidth="true" hidden="false" outlineLevel="0" max="19" min="19" style="0" width="12"/>
  </cols>
  <sheetData>
    <row r="1" customFormat="false" ht="17.35" hidden="false" customHeight="false" outlineLevel="0" collapsed="false">
      <c r="A1" s="8" t="s">
        <v>97</v>
      </c>
    </row>
    <row r="2" customFormat="false" ht="15" hidden="false" customHeight="false" outlineLevel="0" collapsed="false">
      <c r="A2" s="2" t="s">
        <v>98</v>
      </c>
    </row>
    <row r="4" customFormat="false" ht="42" hidden="false" customHeight="true" outlineLevel="0" collapsed="false">
      <c r="A4" s="9" t="s">
        <v>99</v>
      </c>
      <c r="B4" s="9" t="s">
        <v>100</v>
      </c>
      <c r="C4" s="9" t="s">
        <v>101</v>
      </c>
      <c r="E4" s="9" t="s">
        <v>102</v>
      </c>
      <c r="F4" s="9" t="s">
        <v>103</v>
      </c>
      <c r="G4" s="9" t="s">
        <v>104</v>
      </c>
      <c r="I4" s="9" t="s">
        <v>105</v>
      </c>
      <c r="J4" s="9" t="s">
        <v>106</v>
      </c>
      <c r="K4" s="9" t="s">
        <v>107</v>
      </c>
      <c r="L4" s="9" t="s">
        <v>108</v>
      </c>
      <c r="M4" s="9" t="s">
        <v>109</v>
      </c>
      <c r="N4" s="9" t="s">
        <v>110</v>
      </c>
      <c r="O4" s="9" t="s">
        <v>111</v>
      </c>
      <c r="P4" s="9" t="s">
        <v>112</v>
      </c>
      <c r="Q4" s="9" t="s">
        <v>113</v>
      </c>
      <c r="R4" s="9" t="s">
        <v>114</v>
      </c>
      <c r="S4" s="9" t="s">
        <v>115</v>
      </c>
    </row>
    <row r="5" customFormat="false" ht="15" hidden="false" customHeight="false" outlineLevel="0" collapsed="false">
      <c r="A5" s="10" t="n">
        <v>1</v>
      </c>
      <c r="B5" s="11" t="s">
        <v>116</v>
      </c>
      <c r="C5" s="12" t="s">
        <v>117</v>
      </c>
      <c r="E5" s="10" t="s">
        <v>118</v>
      </c>
      <c r="F5" s="13" t="n">
        <v>1</v>
      </c>
      <c r="G5" s="14" t="s">
        <v>119</v>
      </c>
      <c r="I5" s="15" t="s">
        <v>120</v>
      </c>
      <c r="J5" s="10" t="s">
        <v>121</v>
      </c>
      <c r="K5" s="10" t="s">
        <v>122</v>
      </c>
      <c r="L5" s="10" t="s">
        <v>4</v>
      </c>
      <c r="M5" s="16" t="n">
        <v>3000</v>
      </c>
      <c r="N5" s="16" t="n">
        <v>1500</v>
      </c>
      <c r="O5" s="16" t="n">
        <v>0</v>
      </c>
      <c r="P5" s="17" t="n">
        <f aca="false">IF($F$18="вкл",MAX($F$20,ROUND(O5*$F$19,-2)),0)</f>
        <v>100</v>
      </c>
      <c r="Q5" s="18" t="n">
        <f aca="false">$F$26</f>
        <v>3</v>
      </c>
      <c r="R5" s="10" t="n">
        <f aca="false">COUNTIFS(ИНФРАСТРУКТУРА!$C$5:$C$204,I5,ИНФРАСТРУКТУРА!$T$5:$T$204,"")</f>
        <v>0</v>
      </c>
      <c r="S5" s="15" t="n">
        <f aca="false">Q5-R5</f>
        <v>3</v>
      </c>
    </row>
    <row r="6" customFormat="false" ht="15" hidden="false" customHeight="false" outlineLevel="0" collapsed="false">
      <c r="A6" s="10" t="n">
        <v>2</v>
      </c>
      <c r="B6" s="11" t="s">
        <v>123</v>
      </c>
      <c r="C6" s="12" t="s">
        <v>117</v>
      </c>
      <c r="E6" s="10" t="s">
        <v>124</v>
      </c>
      <c r="F6" s="13" t="n">
        <v>10</v>
      </c>
      <c r="G6" s="14" t="s">
        <v>125</v>
      </c>
      <c r="I6" s="15" t="s">
        <v>126</v>
      </c>
      <c r="J6" s="10" t="s">
        <v>127</v>
      </c>
      <c r="K6" s="10" t="s">
        <v>128</v>
      </c>
      <c r="L6" s="10" t="s">
        <v>129</v>
      </c>
      <c r="M6" s="16" t="n">
        <v>5000</v>
      </c>
      <c r="N6" s="16" t="n">
        <v>3000</v>
      </c>
      <c r="O6" s="16" t="n">
        <v>1500</v>
      </c>
      <c r="P6" s="17" t="n">
        <f aca="false">IF($F$18="вкл",MAX($F$20,ROUND(O6*$F$19,-2)),0)</f>
        <v>200</v>
      </c>
      <c r="Q6" s="18" t="n">
        <f aca="false">$F$26</f>
        <v>3</v>
      </c>
      <c r="R6" s="10" t="n">
        <f aca="false">COUNTIFS(ИНФРАСТРУКТУРА!$C$5:$C$204,I6,ИНФРАСТРУКТУРА!$T$5:$T$204,"")</f>
        <v>0</v>
      </c>
      <c r="S6" s="15" t="n">
        <f aca="false">Q6-R6</f>
        <v>3</v>
      </c>
    </row>
    <row r="7" customFormat="false" ht="15" hidden="false" customHeight="false" outlineLevel="0" collapsed="false">
      <c r="A7" s="10" t="n">
        <v>3</v>
      </c>
      <c r="B7" s="11" t="s">
        <v>130</v>
      </c>
      <c r="C7" s="12" t="s">
        <v>117</v>
      </c>
      <c r="E7" s="10" t="s">
        <v>131</v>
      </c>
      <c r="F7" s="13" t="n">
        <v>2</v>
      </c>
      <c r="G7" s="14" t="s">
        <v>132</v>
      </c>
      <c r="I7" s="15" t="s">
        <v>133</v>
      </c>
      <c r="J7" s="10" t="s">
        <v>127</v>
      </c>
      <c r="K7" s="10" t="s">
        <v>134</v>
      </c>
      <c r="L7" s="10" t="s">
        <v>135</v>
      </c>
      <c r="M7" s="16" t="n">
        <v>6000</v>
      </c>
      <c r="N7" s="16" t="n">
        <v>3500</v>
      </c>
      <c r="O7" s="16" t="n">
        <v>1500</v>
      </c>
      <c r="P7" s="17" t="n">
        <f aca="false">IF($F$18="вкл",MAX($F$20,ROUND(O7*$F$19,-2)),0)</f>
        <v>200</v>
      </c>
      <c r="Q7" s="18" t="n">
        <f aca="false">$F$26</f>
        <v>3</v>
      </c>
      <c r="R7" s="10" t="n">
        <f aca="false">COUNTIFS(ИНФРАСТРУКТУРА!$C$5:$C$204,I7,ИНФРАСТРУКТУРА!$T$5:$T$204,"")</f>
        <v>0</v>
      </c>
      <c r="S7" s="15" t="n">
        <f aca="false">Q7-R7</f>
        <v>3</v>
      </c>
    </row>
    <row r="8" customFormat="false" ht="15" hidden="false" customHeight="false" outlineLevel="0" collapsed="false">
      <c r="A8" s="10" t="n">
        <v>4</v>
      </c>
      <c r="B8" s="11" t="s">
        <v>136</v>
      </c>
      <c r="C8" s="12" t="s">
        <v>117</v>
      </c>
      <c r="E8" s="10" t="s">
        <v>137</v>
      </c>
      <c r="F8" s="16" t="n">
        <v>6000</v>
      </c>
      <c r="G8" s="14" t="s">
        <v>138</v>
      </c>
      <c r="I8" s="15" t="s">
        <v>139</v>
      </c>
      <c r="J8" s="10" t="s">
        <v>127</v>
      </c>
      <c r="K8" s="10" t="s">
        <v>134</v>
      </c>
      <c r="L8" s="10" t="s">
        <v>140</v>
      </c>
      <c r="M8" s="16" t="n">
        <v>6000</v>
      </c>
      <c r="N8" s="16" t="n">
        <v>3500</v>
      </c>
      <c r="O8" s="16" t="n">
        <v>1500</v>
      </c>
      <c r="P8" s="17" t="n">
        <f aca="false">IF($F$18="вкл",MAX($F$20,ROUND(O8*$F$19,-2)),0)</f>
        <v>200</v>
      </c>
      <c r="Q8" s="18" t="n">
        <f aca="false">$F$26</f>
        <v>3</v>
      </c>
      <c r="R8" s="10" t="n">
        <f aca="false">COUNTIFS(ИНФРАСТРУКТУРА!$C$5:$C$204,I8,ИНФРАСТРУКТУРА!$T$5:$T$204,"")</f>
        <v>0</v>
      </c>
      <c r="S8" s="15" t="n">
        <f aca="false">Q8-R8</f>
        <v>3</v>
      </c>
    </row>
    <row r="9" customFormat="false" ht="15" hidden="false" customHeight="false" outlineLevel="0" collapsed="false">
      <c r="A9" s="10" t="n">
        <v>5</v>
      </c>
      <c r="B9" s="11" t="s">
        <v>141</v>
      </c>
      <c r="C9" s="12" t="s">
        <v>117</v>
      </c>
      <c r="E9" s="10" t="s">
        <v>142</v>
      </c>
      <c r="F9" s="19" t="n">
        <v>0.15</v>
      </c>
      <c r="G9" s="14" t="s">
        <v>143</v>
      </c>
      <c r="I9" s="15" t="s">
        <v>144</v>
      </c>
      <c r="J9" s="10" t="s">
        <v>127</v>
      </c>
      <c r="K9" s="10" t="s">
        <v>134</v>
      </c>
      <c r="L9" s="10" t="s">
        <v>145</v>
      </c>
      <c r="M9" s="16" t="n">
        <v>7000</v>
      </c>
      <c r="N9" s="16" t="n">
        <v>4000</v>
      </c>
      <c r="O9" s="16" t="n">
        <v>2000</v>
      </c>
      <c r="P9" s="17" t="n">
        <f aca="false">IF($F$18="вкл",MAX($F$20,ROUND(O9*$F$19,-2)),0)</f>
        <v>200</v>
      </c>
      <c r="Q9" s="18" t="n">
        <f aca="false">$F$26</f>
        <v>3</v>
      </c>
      <c r="R9" s="10" t="n">
        <f aca="false">COUNTIFS(ИНФРАСТРУКТУРА!$C$5:$C$204,I9,ИНФРАСТРУКТУРА!$T$5:$T$204,"")</f>
        <v>0</v>
      </c>
      <c r="S9" s="15" t="n">
        <f aca="false">Q9-R9</f>
        <v>3</v>
      </c>
    </row>
    <row r="10" customFormat="false" ht="15" hidden="false" customHeight="false" outlineLevel="0" collapsed="false">
      <c r="A10" s="10" t="n">
        <v>6</v>
      </c>
      <c r="B10" s="11" t="s">
        <v>146</v>
      </c>
      <c r="C10" s="12" t="s">
        <v>117</v>
      </c>
      <c r="E10" s="10" t="s">
        <v>147</v>
      </c>
      <c r="F10" s="16" t="n">
        <v>15000</v>
      </c>
      <c r="G10" s="14" t="s">
        <v>148</v>
      </c>
      <c r="I10" s="15" t="s">
        <v>149</v>
      </c>
      <c r="J10" s="10" t="s">
        <v>127</v>
      </c>
      <c r="K10" s="10" t="s">
        <v>134</v>
      </c>
      <c r="L10" s="10" t="s">
        <v>145</v>
      </c>
      <c r="M10" s="16" t="n">
        <v>7000</v>
      </c>
      <c r="N10" s="16" t="n">
        <v>4000</v>
      </c>
      <c r="O10" s="16" t="n">
        <v>2000</v>
      </c>
      <c r="P10" s="17" t="n">
        <f aca="false">IF($F$18="вкл",MAX($F$20,ROUND(O10*$F$19,-2)),0)</f>
        <v>200</v>
      </c>
      <c r="Q10" s="18" t="n">
        <f aca="false">$F$26</f>
        <v>3</v>
      </c>
      <c r="R10" s="10" t="n">
        <f aca="false">COUNTIFS(ИНФРАСТРУКТУРА!$C$5:$C$204,I10,ИНФРАСТРУКТУРА!$T$5:$T$204,"")</f>
        <v>0</v>
      </c>
      <c r="S10" s="15" t="n">
        <f aca="false">Q10-R10</f>
        <v>3</v>
      </c>
    </row>
    <row r="11" customFormat="false" ht="15" hidden="false" customHeight="false" outlineLevel="0" collapsed="false">
      <c r="A11" s="10" t="n">
        <v>7</v>
      </c>
      <c r="B11" s="11" t="s">
        <v>150</v>
      </c>
      <c r="C11" s="12" t="s">
        <v>151</v>
      </c>
      <c r="E11" s="10" t="s">
        <v>152</v>
      </c>
      <c r="F11" s="19" t="n">
        <v>0.1</v>
      </c>
      <c r="G11" s="14" t="s">
        <v>153</v>
      </c>
      <c r="I11" s="15" t="s">
        <v>154</v>
      </c>
      <c r="J11" s="10" t="s">
        <v>127</v>
      </c>
      <c r="K11" s="10" t="s">
        <v>134</v>
      </c>
      <c r="L11" s="10" t="s">
        <v>155</v>
      </c>
      <c r="M11" s="16" t="n">
        <v>10000</v>
      </c>
      <c r="N11" s="16" t="n">
        <v>6000</v>
      </c>
      <c r="O11" s="16" t="n">
        <v>3000</v>
      </c>
      <c r="P11" s="17" t="n">
        <f aca="false">IF($F$18="вкл",MAX($F$20,ROUND(O11*$F$19,-2)),0)</f>
        <v>300</v>
      </c>
      <c r="Q11" s="18" t="n">
        <f aca="false">$F$26</f>
        <v>3</v>
      </c>
      <c r="R11" s="10" t="n">
        <f aca="false">COUNTIFS(ИНФРАСТРУКТУРА!$C$5:$C$204,I11,ИНФРАСТРУКТУРА!$T$5:$T$204,"")</f>
        <v>0</v>
      </c>
      <c r="S11" s="15" t="n">
        <f aca="false">Q11-R11</f>
        <v>3</v>
      </c>
    </row>
    <row r="12" customFormat="false" ht="15" hidden="false" customHeight="false" outlineLevel="0" collapsed="false">
      <c r="A12" s="10" t="n">
        <v>8</v>
      </c>
      <c r="B12" s="11" t="s">
        <v>156</v>
      </c>
      <c r="C12" s="12" t="s">
        <v>151</v>
      </c>
      <c r="E12" s="10" t="s">
        <v>157</v>
      </c>
      <c r="F12" s="16" t="n">
        <v>500</v>
      </c>
      <c r="G12" s="14"/>
      <c r="I12" s="15" t="s">
        <v>158</v>
      </c>
      <c r="J12" s="10" t="s">
        <v>127</v>
      </c>
      <c r="K12" s="10" t="s">
        <v>134</v>
      </c>
      <c r="L12" s="10" t="s">
        <v>159</v>
      </c>
      <c r="M12" s="16" t="n">
        <v>12000</v>
      </c>
      <c r="N12" s="16" t="n">
        <v>7000</v>
      </c>
      <c r="O12" s="16" t="n">
        <v>3500</v>
      </c>
      <c r="P12" s="17" t="n">
        <f aca="false">IF($F$18="вкл",MAX($F$20,ROUND(O12*$F$19,-2)),0)</f>
        <v>400</v>
      </c>
      <c r="Q12" s="18" t="n">
        <f aca="false">$F$26</f>
        <v>3</v>
      </c>
      <c r="R12" s="10" t="n">
        <f aca="false">COUNTIFS(ИНФРАСТРУКТУРА!$C$5:$C$204,I12,ИНФРАСТРУКТУРА!$T$5:$T$204,"")</f>
        <v>0</v>
      </c>
      <c r="S12" s="15" t="n">
        <f aca="false">Q12-R12</f>
        <v>3</v>
      </c>
    </row>
    <row r="13" customFormat="false" ht="15" hidden="false" customHeight="false" outlineLevel="0" collapsed="false">
      <c r="A13" s="10" t="n">
        <v>9</v>
      </c>
      <c r="B13" s="11" t="s">
        <v>160</v>
      </c>
      <c r="C13" s="12" t="s">
        <v>151</v>
      </c>
      <c r="E13" s="10" t="s">
        <v>161</v>
      </c>
      <c r="F13" s="16" t="n">
        <v>1000</v>
      </c>
      <c r="G13" s="14"/>
      <c r="I13" s="15" t="s">
        <v>162</v>
      </c>
      <c r="J13" s="10" t="s">
        <v>127</v>
      </c>
      <c r="K13" s="10" t="s">
        <v>128</v>
      </c>
      <c r="L13" s="10" t="s">
        <v>155</v>
      </c>
      <c r="M13" s="16" t="n">
        <v>15000</v>
      </c>
      <c r="N13" s="16" t="n">
        <v>9000</v>
      </c>
      <c r="O13" s="16" t="n">
        <v>4000</v>
      </c>
      <c r="P13" s="17" t="n">
        <f aca="false">IF($F$18="вкл",MAX($F$20,ROUND(O13*$F$19,-2)),0)</f>
        <v>400</v>
      </c>
      <c r="Q13" s="18" t="n">
        <f aca="false">$F$26</f>
        <v>3</v>
      </c>
      <c r="R13" s="10" t="n">
        <f aca="false">COUNTIFS(ИНФРАСТРУКТУРА!$C$5:$C$204,I13,ИНФРАСТРУКТУРА!$T$5:$T$204,"")</f>
        <v>0</v>
      </c>
      <c r="S13" s="15" t="n">
        <f aca="false">Q13-R13</f>
        <v>3</v>
      </c>
    </row>
    <row r="14" customFormat="false" ht="15" hidden="false" customHeight="false" outlineLevel="0" collapsed="false">
      <c r="A14" s="10" t="n">
        <v>10</v>
      </c>
      <c r="B14" s="11" t="s">
        <v>163</v>
      </c>
      <c r="C14" s="12" t="s">
        <v>151</v>
      </c>
      <c r="E14" s="10" t="s">
        <v>164</v>
      </c>
      <c r="F14" s="16" t="n">
        <v>1500</v>
      </c>
      <c r="G14" s="14" t="s">
        <v>165</v>
      </c>
      <c r="I14" s="15" t="s">
        <v>129</v>
      </c>
      <c r="J14" s="10" t="s">
        <v>166</v>
      </c>
      <c r="K14" s="10" t="s">
        <v>166</v>
      </c>
      <c r="L14" s="10" t="s">
        <v>4</v>
      </c>
      <c r="M14" s="16" t="n">
        <v>8000</v>
      </c>
      <c r="N14" s="16" t="n">
        <v>4500</v>
      </c>
      <c r="O14" s="16" t="n">
        <v>2000</v>
      </c>
      <c r="P14" s="17" t="n">
        <f aca="false">IF($F$18="вкл",MAX($F$20,ROUND(O14*$F$19,-2)),0)</f>
        <v>200</v>
      </c>
      <c r="Q14" s="18" t="n">
        <f aca="false">$F$26</f>
        <v>3</v>
      </c>
      <c r="R14" s="10" t="n">
        <f aca="false">COUNTIFS(ИНФРАСТРУКТУРА!$C$5:$C$204,I14,ИНФРАСТРУКТУРА!$T$5:$T$204,"")</f>
        <v>0</v>
      </c>
      <c r="S14" s="15" t="n">
        <f aca="false">Q14-R14</f>
        <v>3</v>
      </c>
    </row>
    <row r="15" customFormat="false" ht="15" hidden="false" customHeight="false" outlineLevel="0" collapsed="false">
      <c r="A15" s="10" t="n">
        <v>11</v>
      </c>
      <c r="B15" s="11" t="s">
        <v>167</v>
      </c>
      <c r="C15" s="12" t="s">
        <v>151</v>
      </c>
      <c r="E15" s="10" t="s">
        <v>168</v>
      </c>
      <c r="F15" s="19" t="n">
        <v>0.5</v>
      </c>
      <c r="G15" s="14" t="s">
        <v>169</v>
      </c>
      <c r="I15" s="15" t="s">
        <v>159</v>
      </c>
      <c r="J15" s="10" t="s">
        <v>166</v>
      </c>
      <c r="K15" s="10" t="s">
        <v>166</v>
      </c>
      <c r="L15" s="10" t="s">
        <v>4</v>
      </c>
      <c r="M15" s="16" t="n">
        <v>9000</v>
      </c>
      <c r="N15" s="16" t="n">
        <v>5000</v>
      </c>
      <c r="O15" s="16" t="n">
        <v>2500</v>
      </c>
      <c r="P15" s="17" t="n">
        <f aca="false">IF($F$18="вкл",MAX($F$20,ROUND(O15*$F$19,-2)),0)</f>
        <v>300</v>
      </c>
      <c r="Q15" s="18" t="n">
        <f aca="false">$F$26</f>
        <v>3</v>
      </c>
      <c r="R15" s="10" t="n">
        <f aca="false">COUNTIFS(ИНФРАСТРУКТУРА!$C$5:$C$204,I15,ИНФРАСТРУКТУРА!$T$5:$T$204,"")</f>
        <v>0</v>
      </c>
      <c r="S15" s="15" t="n">
        <f aca="false">Q15-R15</f>
        <v>3</v>
      </c>
    </row>
    <row r="16" customFormat="false" ht="15" hidden="false" customHeight="false" outlineLevel="0" collapsed="false">
      <c r="A16" s="10" t="n">
        <v>12</v>
      </c>
      <c r="B16" s="11" t="s">
        <v>170</v>
      </c>
      <c r="C16" s="12" t="s">
        <v>151</v>
      </c>
      <c r="E16" s="10" t="s">
        <v>171</v>
      </c>
      <c r="F16" s="13" t="n">
        <v>2</v>
      </c>
      <c r="G16" s="14" t="s">
        <v>172</v>
      </c>
      <c r="I16" s="15" t="s">
        <v>140</v>
      </c>
      <c r="J16" s="10" t="s">
        <v>166</v>
      </c>
      <c r="K16" s="10" t="s">
        <v>166</v>
      </c>
      <c r="L16" s="10" t="s">
        <v>4</v>
      </c>
      <c r="M16" s="16" t="n">
        <v>9000</v>
      </c>
      <c r="N16" s="16" t="n">
        <v>5000</v>
      </c>
      <c r="O16" s="16" t="n">
        <v>2500</v>
      </c>
      <c r="P16" s="17" t="n">
        <f aca="false">IF($F$18="вкл",MAX($F$20,ROUND(O16*$F$19,-2)),0)</f>
        <v>300</v>
      </c>
      <c r="Q16" s="18" t="n">
        <f aca="false">$F$26</f>
        <v>3</v>
      </c>
      <c r="R16" s="10" t="n">
        <f aca="false">COUNTIFS(ИНФРАСТРУКТУРА!$C$5:$C$204,I16,ИНФРАСТРУКТУРА!$T$5:$T$204,"")</f>
        <v>0</v>
      </c>
      <c r="S16" s="15" t="n">
        <f aca="false">Q16-R16</f>
        <v>3</v>
      </c>
    </row>
    <row r="17" customFormat="false" ht="15" hidden="false" customHeight="false" outlineLevel="0" collapsed="false">
      <c r="E17" s="10" t="s">
        <v>173</v>
      </c>
      <c r="F17" s="16" t="n">
        <v>500</v>
      </c>
      <c r="G17" s="14" t="s">
        <v>174</v>
      </c>
      <c r="I17" s="15" t="s">
        <v>145</v>
      </c>
      <c r="J17" s="10" t="s">
        <v>166</v>
      </c>
      <c r="K17" s="10" t="s">
        <v>166</v>
      </c>
      <c r="L17" s="10" t="s">
        <v>4</v>
      </c>
      <c r="M17" s="16" t="n">
        <v>9000</v>
      </c>
      <c r="N17" s="16" t="n">
        <v>5000</v>
      </c>
      <c r="O17" s="16" t="n">
        <v>2500</v>
      </c>
      <c r="P17" s="17" t="n">
        <f aca="false">IF($F$18="вкл",MAX($F$20,ROUND(O17*$F$19,-2)),0)</f>
        <v>300</v>
      </c>
      <c r="Q17" s="18" t="n">
        <f aca="false">$F$26</f>
        <v>3</v>
      </c>
      <c r="R17" s="10" t="n">
        <f aca="false">COUNTIFS(ИНФРАСТРУКТУРА!$C$5:$C$204,I17,ИНФРАСТРУКТУРА!$T$5:$T$204,"")</f>
        <v>0</v>
      </c>
      <c r="S17" s="15" t="n">
        <f aca="false">Q17-R17</f>
        <v>3</v>
      </c>
    </row>
    <row r="18" customFormat="false" ht="15" hidden="false" customHeight="false" outlineLevel="0" collapsed="false">
      <c r="A18" s="2" t="s">
        <v>175</v>
      </c>
      <c r="E18" s="10" t="s">
        <v>176</v>
      </c>
      <c r="F18" s="12" t="s">
        <v>177</v>
      </c>
      <c r="G18" s="14" t="s">
        <v>178</v>
      </c>
      <c r="I18" s="15" t="s">
        <v>155</v>
      </c>
      <c r="J18" s="10" t="s">
        <v>166</v>
      </c>
      <c r="K18" s="10" t="s">
        <v>166</v>
      </c>
      <c r="L18" s="10" t="s">
        <v>4</v>
      </c>
      <c r="M18" s="16" t="n">
        <v>10000</v>
      </c>
      <c r="N18" s="16" t="n">
        <v>6000</v>
      </c>
      <c r="O18" s="16" t="n">
        <v>2500</v>
      </c>
      <c r="P18" s="17" t="n">
        <f aca="false">IF($F$18="вкл",MAX($F$20,ROUND(O18*$F$19,-2)),0)</f>
        <v>300</v>
      </c>
      <c r="Q18" s="18" t="n">
        <f aca="false">$F$26</f>
        <v>3</v>
      </c>
      <c r="R18" s="10" t="n">
        <f aca="false">COUNTIFS(ИНФРАСТРУКТУРА!$C$5:$C$204,I18,ИНФРАСТРУКТУРА!$T$5:$T$204,"")</f>
        <v>0</v>
      </c>
      <c r="S18" s="15" t="n">
        <f aca="false">Q18-R18</f>
        <v>3</v>
      </c>
    </row>
    <row r="19" customFormat="false" ht="15" hidden="false" customHeight="false" outlineLevel="0" collapsed="false">
      <c r="E19" s="10" t="s">
        <v>179</v>
      </c>
      <c r="F19" s="19" t="n">
        <v>0.1</v>
      </c>
      <c r="G19" s="14" t="s">
        <v>180</v>
      </c>
      <c r="I19" s="15" t="s">
        <v>135</v>
      </c>
      <c r="J19" s="10" t="s">
        <v>166</v>
      </c>
      <c r="K19" s="10" t="s">
        <v>166</v>
      </c>
      <c r="L19" s="10" t="s">
        <v>4</v>
      </c>
      <c r="M19" s="16" t="n">
        <v>10000</v>
      </c>
      <c r="N19" s="16" t="n">
        <v>6000</v>
      </c>
      <c r="O19" s="16" t="n">
        <v>2500</v>
      </c>
      <c r="P19" s="17" t="n">
        <f aca="false">IF($F$18="вкл",MAX($F$20,ROUND(O19*$F$19,-2)),0)</f>
        <v>300</v>
      </c>
      <c r="Q19" s="18" t="n">
        <f aca="false">$F$26</f>
        <v>3</v>
      </c>
      <c r="R19" s="10" t="n">
        <f aca="false">COUNTIFS(ИНФРАСТРУКТУРА!$C$5:$C$204,I19,ИНФРАСТРУКТУРА!$T$5:$T$204,"")</f>
        <v>0</v>
      </c>
      <c r="S19" s="15" t="n">
        <f aca="false">Q19-R19</f>
        <v>3</v>
      </c>
    </row>
    <row r="20" customFormat="false" ht="15" hidden="false" customHeight="false" outlineLevel="0" collapsed="false">
      <c r="E20" s="10" t="s">
        <v>181</v>
      </c>
      <c r="F20" s="16" t="n">
        <v>100</v>
      </c>
      <c r="G20" s="14" t="s">
        <v>182</v>
      </c>
    </row>
    <row r="21" customFormat="false" ht="15" hidden="false" customHeight="false" outlineLevel="0" collapsed="false">
      <c r="E21" s="10" t="s">
        <v>183</v>
      </c>
      <c r="F21" s="16" t="n">
        <v>1000</v>
      </c>
      <c r="G21" s="14" t="s">
        <v>184</v>
      </c>
    </row>
    <row r="22" customFormat="false" ht="15" hidden="false" customHeight="false" outlineLevel="0" collapsed="false">
      <c r="E22" s="10" t="s">
        <v>185</v>
      </c>
      <c r="F22" s="20" t="n">
        <v>2</v>
      </c>
      <c r="G22" s="14" t="s">
        <v>186</v>
      </c>
    </row>
    <row r="23" customFormat="false" ht="15" hidden="false" customHeight="false" outlineLevel="0" collapsed="false">
      <c r="E23" s="10" t="s">
        <v>187</v>
      </c>
      <c r="F23" s="16" t="n">
        <v>150000</v>
      </c>
      <c r="G23" s="14" t="s">
        <v>188</v>
      </c>
    </row>
    <row r="24" customFormat="false" ht="15" hidden="false" customHeight="false" outlineLevel="0" collapsed="false">
      <c r="E24" s="10" t="s">
        <v>189</v>
      </c>
      <c r="F24" s="12" t="s">
        <v>151</v>
      </c>
      <c r="G24" s="14" t="s">
        <v>190</v>
      </c>
    </row>
    <row r="25" customFormat="false" ht="15" hidden="false" customHeight="false" outlineLevel="0" collapsed="false">
      <c r="E25" s="10" t="s">
        <v>191</v>
      </c>
      <c r="F25" s="18" t="n">
        <f aca="false">COUNTIF($C$5:$C$16,"да")</f>
        <v>6</v>
      </c>
      <c r="G25" s="14" t="s">
        <v>192</v>
      </c>
    </row>
    <row r="26" customFormat="false" ht="15" hidden="false" customHeight="false" outlineLevel="0" collapsed="false">
      <c r="E26" s="10" t="s">
        <v>193</v>
      </c>
      <c r="F26" s="13" t="n">
        <f aca="false">ROUNDUP(F25/2,0)</f>
        <v>3</v>
      </c>
      <c r="G26" s="14" t="s">
        <v>194</v>
      </c>
    </row>
    <row r="27" customFormat="false" ht="15" hidden="false" customHeight="false" outlineLevel="0" collapsed="false">
      <c r="E27" s="10" t="s">
        <v>195</v>
      </c>
      <c r="F27" s="16" t="n">
        <v>2000</v>
      </c>
      <c r="G27" s="14" t="s">
        <v>196</v>
      </c>
    </row>
    <row r="28" customFormat="false" ht="15" hidden="false" customHeight="false" outlineLevel="0" collapsed="false">
      <c r="E28" s="10" t="s">
        <v>197</v>
      </c>
      <c r="F28" s="16" t="n">
        <v>3000</v>
      </c>
      <c r="G28" s="14" t="s">
        <v>198</v>
      </c>
    </row>
    <row r="29" customFormat="false" ht="15" hidden="false" customHeight="false" outlineLevel="0" collapsed="false">
      <c r="E29" s="10" t="s">
        <v>199</v>
      </c>
      <c r="F29" s="16" t="n">
        <v>1500</v>
      </c>
      <c r="G29" s="14" t="s">
        <v>200</v>
      </c>
    </row>
    <row r="30" customFormat="false" ht="15" hidden="false" customHeight="false" outlineLevel="0" collapsed="false">
      <c r="E30" s="10" t="s">
        <v>201</v>
      </c>
      <c r="F30" s="16" t="n">
        <v>500</v>
      </c>
      <c r="G30" s="14"/>
    </row>
    <row r="31" customFormat="false" ht="15" hidden="false" customHeight="false" outlineLevel="0" collapsed="false">
      <c r="E31" s="10" t="s">
        <v>202</v>
      </c>
      <c r="F31" s="16" t="n">
        <v>500</v>
      </c>
      <c r="G31" s="14" t="s">
        <v>203</v>
      </c>
    </row>
    <row r="32" customFormat="false" ht="15" hidden="false" customHeight="false" outlineLevel="0" collapsed="false">
      <c r="E32" s="10" t="s">
        <v>204</v>
      </c>
      <c r="F32" s="16" t="n">
        <v>1000</v>
      </c>
      <c r="G32" s="14" t="s">
        <v>205</v>
      </c>
    </row>
    <row r="33" customFormat="false" ht="15" hidden="false" customHeight="false" outlineLevel="0" collapsed="false">
      <c r="E33" s="10" t="s">
        <v>206</v>
      </c>
      <c r="F33" s="13" t="n">
        <v>2</v>
      </c>
      <c r="G33" s="14" t="s">
        <v>207</v>
      </c>
    </row>
    <row r="34" customFormat="false" ht="15" hidden="false" customHeight="false" outlineLevel="0" collapsed="false">
      <c r="E34" s="10" t="s">
        <v>208</v>
      </c>
      <c r="F34" s="16" t="n">
        <v>1000</v>
      </c>
      <c r="G34" s="14" t="s">
        <v>209</v>
      </c>
    </row>
    <row r="35" customFormat="false" ht="15" hidden="false" customHeight="false" outlineLevel="0" collapsed="false">
      <c r="E35" s="10" t="s">
        <v>210</v>
      </c>
      <c r="F35" s="16" t="n">
        <v>3000</v>
      </c>
      <c r="G35" s="14"/>
    </row>
  </sheetData>
  <dataValidations count="4"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C5:C16" type="list">
      <formula1>"да,нет"</formula1>
      <formula2>0</formula2>
    </dataValidation>
    <dataValidation allowBlank="true" error="Целое число от 1 до 10." errorStyle="stop" operator="between" showDropDown="false" showErrorMessage="true" showInputMessage="false" sqref="F5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F18" type="list">
      <formula1>"вкл,выкл"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F24" type="list">
      <formula1>"да,нет"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34"/>
    <col collapsed="false" customWidth="true" hidden="false" outlineLevel="0" max="6" min="6" style="0" width="14"/>
    <col collapsed="false" customWidth="true" hidden="false" outlineLevel="0" max="8" min="8" style="0" width="9"/>
    <col collapsed="false" customWidth="true" hidden="false" outlineLevel="0" max="9" min="9" style="0" width="22"/>
    <col collapsed="false" customWidth="true" hidden="false" outlineLevel="0" max="10" min="10" style="0" width="18"/>
  </cols>
  <sheetData>
    <row r="1" customFormat="false" ht="33.75" hidden="false" customHeight="true" outlineLevel="0" collapsed="false">
      <c r="A1" s="21" t="str">
        <f aca="false">"НА ДЕЛЕ // STARTUP CITY   ·   ЦИКЛ "&amp;ИНФА!$F$5&amp;" ИЗ "&amp;ИНФА!$F$6&amp;IF(AND(MOD(ИНФА!$F$5,ИНФА!$F$7)=0,ИНФА!$F$5&lt;ИНФА!$F$6),"   ·   ПОСЛЕ ЦИКЛА — РАУНД ПЕРЕГОВОРОВ","")</f>
        <v>НА ДЕЛЕ // STARTUP CITY   ·   ЦИКЛ 1 ИЗ 8</v>
      </c>
    </row>
    <row r="2" customFormat="false" ht="25.5" hidden="false" customHeight="true" outlineLevel="0" collapsed="false">
      <c r="A2" s="22" t="str">
        <f aca="false">IF(AND(MOD(ИНФА!$F$5,ИНФА!$F$7)=0,ИНФА!$F$5&lt;ИНФА!$F$6),"Раунд переговоров: 3 минуты на соглашения о поставках, бизнес-пары и другие договоры",IFERROR(INDEX(СОБЫТИЯ!$D$12:$D$30,MATCH(ИНФА!$F$5,СОБЫТИЯ!$A$12:$A$30,0)),IFERROR("Продолжается: "&amp;INDEX(СОБЫТИЯ!$B$12:$B$30,MATCH(ИНФА!$F$5-1,СОБЫТИЯ!$A$12:$A$30,0)),"Событий нет")))</f>
        <v>Событий нет</v>
      </c>
    </row>
    <row r="4" customFormat="false" ht="33.75" hidden="false" customHeight="true" outlineLevel="0" collapsed="false">
      <c r="A4" s="23" t="s">
        <v>105</v>
      </c>
      <c r="B4" s="23" t="s">
        <v>211</v>
      </c>
      <c r="C4" s="23" t="s">
        <v>212</v>
      </c>
      <c r="D4" s="23" t="s">
        <v>176</v>
      </c>
      <c r="E4" s="23" t="s">
        <v>108</v>
      </c>
      <c r="F4" s="23" t="s">
        <v>213</v>
      </c>
      <c r="H4" s="24" t="s">
        <v>214</v>
      </c>
      <c r="I4" s="24" t="s">
        <v>100</v>
      </c>
      <c r="J4" s="24" t="s">
        <v>215</v>
      </c>
    </row>
    <row r="5" customFormat="false" ht="21.75" hidden="false" customHeight="true" outlineLevel="0" collapsed="false">
      <c r="A5" s="25" t="str">
        <f aca="false">ИНФА!I5</f>
        <v>Парк</v>
      </c>
      <c r="B5" s="26" t="n">
        <f aca="false">ИНФА!M5</f>
        <v>3000</v>
      </c>
      <c r="C5" s="26" t="n">
        <f aca="false">ROUND(ИНФА!O5*INDEX(СОБЫТИЯ!$B$5:$K$8,MATCH(ИНФА!K5,СОБЫТИЯ!$A$5:$A$8,0),ИНФА!$F$5),0)</f>
        <v>0</v>
      </c>
      <c r="D5" s="26" t="n">
        <f aca="false">ИНФА!P5</f>
        <v>100</v>
      </c>
      <c r="E5" s="27" t="str">
        <f aca="false">ИНФА!L5</f>
        <v>—</v>
      </c>
      <c r="F5" s="28" t="n">
        <f aca="false">ИНФА!S5</f>
        <v>3</v>
      </c>
      <c r="H5" s="29" t="str">
        <f aca="false">IF(AND(ИНФА!$F$24="да",I5&lt;&gt;""),1,"")</f>
        <v/>
      </c>
      <c r="I5" s="25" t="str">
        <f aca="false">IF(ИНФА!$F$24="да",IFERROR(INDEX(ИТОГ!$A$5:$A$16,MATCH(1,ИТОГ!$H$5:$H$16,0)),""),"")</f>
        <v/>
      </c>
      <c r="J5" s="30" t="str">
        <f aca="false">IF(I5="","",INDEX(ИТОГ!$F$5:$F$16,MATCH(1,ИТОГ!$H$5:$H$16,0)))</f>
        <v/>
      </c>
    </row>
    <row r="6" customFormat="false" ht="21.75" hidden="false" customHeight="true" outlineLevel="0" collapsed="false">
      <c r="A6" s="25" t="str">
        <f aca="false">ИНФА!I6</f>
        <v>Дом</v>
      </c>
      <c r="B6" s="26" t="n">
        <f aca="false">ИНФА!M6</f>
        <v>5000</v>
      </c>
      <c r="C6" s="26" t="n">
        <f aca="false">ROUND(ИНФА!O6*INDEX(СОБЫТИЯ!$B$5:$K$8,MATCH(ИНФА!K6,СОБЫТИЯ!$A$5:$A$8,0),ИНФА!$F$5),0)</f>
        <v>1500</v>
      </c>
      <c r="D6" s="26" t="n">
        <f aca="false">ИНФА!P6</f>
        <v>200</v>
      </c>
      <c r="E6" s="27" t="str">
        <f aca="false">ИНФА!L6</f>
        <v>Лесопилка</v>
      </c>
      <c r="F6" s="28" t="n">
        <f aca="false">ИНФА!S6</f>
        <v>3</v>
      </c>
      <c r="H6" s="29" t="str">
        <f aca="false">IF(AND(ИНФА!$F$24="да",I6&lt;&gt;""),2,"")</f>
        <v/>
      </c>
      <c r="I6" s="25" t="str">
        <f aca="false">IF(ИНФА!$F$24="да",IFERROR(INDEX(ИТОГ!$A$5:$A$16,MATCH(2,ИТОГ!$H$5:$H$16,0)),""),"")</f>
        <v/>
      </c>
      <c r="J6" s="30" t="str">
        <f aca="false">IF(I6="","",INDEX(ИТОГ!$F$5:$F$16,MATCH(2,ИТОГ!$H$5:$H$16,0)))</f>
        <v/>
      </c>
    </row>
    <row r="7" customFormat="false" ht="21.75" hidden="false" customHeight="true" outlineLevel="0" collapsed="false">
      <c r="A7" s="25" t="str">
        <f aca="false">ИНФА!I7</f>
        <v>Мастерская</v>
      </c>
      <c r="B7" s="26" t="n">
        <f aca="false">ИНФА!M7</f>
        <v>6000</v>
      </c>
      <c r="C7" s="26" t="n">
        <f aca="false">ROUND(ИНФА!O7*INDEX(СОБЫТИЯ!$B$5:$K$8,MATCH(ИНФА!K7,СОБЫТИЯ!$A$5:$A$8,0),ИНФА!$F$5),0)</f>
        <v>1500</v>
      </c>
      <c r="D7" s="26" t="n">
        <f aca="false">ИНФА!P7</f>
        <v>200</v>
      </c>
      <c r="E7" s="27" t="str">
        <f aca="false">ИНФА!L7</f>
        <v>Металлоперерабатывающий завод</v>
      </c>
      <c r="F7" s="28" t="n">
        <f aca="false">ИНФА!S7</f>
        <v>3</v>
      </c>
      <c r="H7" s="29" t="str">
        <f aca="false">IF(AND(ИНФА!$F$24="да",I7&lt;&gt;""),3,"")</f>
        <v/>
      </c>
      <c r="I7" s="25" t="str">
        <f aca="false">IF(ИНФА!$F$24="да",IFERROR(INDEX(ИТОГ!$A$5:$A$16,MATCH(3,ИТОГ!$H$5:$H$16,0)),""),"")</f>
        <v/>
      </c>
      <c r="J7" s="30" t="str">
        <f aca="false">IF(I7="","",INDEX(ИТОГ!$F$5:$F$16,MATCH(3,ИТОГ!$H$5:$H$16,0)))</f>
        <v/>
      </c>
    </row>
    <row r="8" customFormat="false" ht="21.75" hidden="false" customHeight="true" outlineLevel="0" collapsed="false">
      <c r="A8" s="25" t="str">
        <f aca="false">ИНФА!I8</f>
        <v>Магазин</v>
      </c>
      <c r="B8" s="26" t="n">
        <f aca="false">ИНФА!M8</f>
        <v>6000</v>
      </c>
      <c r="C8" s="26" t="n">
        <f aca="false">ROUND(ИНФА!O8*INDEX(СОБЫТИЯ!$B$5:$K$8,MATCH(ИНФА!K8,СОБЫТИЯ!$A$5:$A$8,0),ИНФА!$F$5),0)</f>
        <v>1500</v>
      </c>
      <c r="D8" s="26" t="n">
        <f aca="false">ИНФА!P8</f>
        <v>200</v>
      </c>
      <c r="E8" s="27" t="str">
        <f aca="false">ИНФА!L8</f>
        <v>Стекольный завод</v>
      </c>
      <c r="F8" s="28" t="n">
        <f aca="false">ИНФА!S8</f>
        <v>3</v>
      </c>
      <c r="H8" s="29" t="str">
        <f aca="false">IF(AND(ИНФА!$F$24="да",I8&lt;&gt;""),4,"")</f>
        <v/>
      </c>
      <c r="I8" s="25" t="str">
        <f aca="false">IF(ИНФА!$F$24="да",IFERROR(INDEX(ИТОГ!$A$5:$A$16,MATCH(4,ИТОГ!$H$5:$H$16,0)),""),"")</f>
        <v/>
      </c>
      <c r="J8" s="30" t="str">
        <f aca="false">IF(I8="","",INDEX(ИТОГ!$F$5:$F$16,MATCH(4,ИТОГ!$H$5:$H$16,0)))</f>
        <v/>
      </c>
    </row>
    <row r="9" customFormat="false" ht="21.75" hidden="false" customHeight="true" outlineLevel="0" collapsed="false">
      <c r="A9" s="25" t="str">
        <f aca="false">ИНФА!I9</f>
        <v>Кафе</v>
      </c>
      <c r="B9" s="26" t="n">
        <f aca="false">ИНФА!M9</f>
        <v>7000</v>
      </c>
      <c r="C9" s="26" t="n">
        <f aca="false">ROUND(ИНФА!O9*INDEX(СОБЫТИЯ!$B$5:$K$8,MATCH(ИНФА!K9,СОБЫТИЯ!$A$5:$A$8,0),ИНФА!$F$5),0)</f>
        <v>2000</v>
      </c>
      <c r="D9" s="26" t="n">
        <f aca="false">ИНФА!P9</f>
        <v>200</v>
      </c>
      <c r="E9" s="27" t="str">
        <f aca="false">ИНФА!L9</f>
        <v>Пищевой комбинат</v>
      </c>
      <c r="F9" s="28" t="n">
        <f aca="false">ИНФА!S9</f>
        <v>3</v>
      </c>
      <c r="H9" s="29" t="str">
        <f aca="false">IF(AND(ИНФА!$F$24="да",I9&lt;&gt;""),5,"")</f>
        <v/>
      </c>
      <c r="I9" s="25" t="str">
        <f aca="false">IF(ИНФА!$F$24="да",IFERROR(INDEX(ИТОГ!$A$5:$A$16,MATCH(5,ИТОГ!$H$5:$H$16,0)),""),"")</f>
        <v/>
      </c>
      <c r="J9" s="30" t="str">
        <f aca="false">IF(I9="","",INDEX(ИТОГ!$F$5:$F$16,MATCH(5,ИТОГ!$H$5:$H$16,0)))</f>
        <v/>
      </c>
    </row>
    <row r="10" customFormat="false" ht="21.75" hidden="false" customHeight="true" outlineLevel="0" collapsed="false">
      <c r="A10" s="25" t="str">
        <f aca="false">ИНФА!I10</f>
        <v>Пекарня</v>
      </c>
      <c r="B10" s="26" t="n">
        <f aca="false">ИНФА!M10</f>
        <v>7000</v>
      </c>
      <c r="C10" s="26" t="n">
        <f aca="false">ROUND(ИНФА!O10*INDEX(СОБЫТИЯ!$B$5:$K$8,MATCH(ИНФА!K10,СОБЫТИЯ!$A$5:$A$8,0),ИНФА!$F$5),0)</f>
        <v>2000</v>
      </c>
      <c r="D10" s="26" t="n">
        <f aca="false">ИНФА!P10</f>
        <v>200</v>
      </c>
      <c r="E10" s="27" t="str">
        <f aca="false">ИНФА!L10</f>
        <v>Пищевой комбинат</v>
      </c>
      <c r="F10" s="28" t="n">
        <f aca="false">ИНФА!S10</f>
        <v>3</v>
      </c>
      <c r="H10" s="29" t="str">
        <f aca="false">IF(AND(ИНФА!$F$24="да",I10&lt;&gt;""),6,"")</f>
        <v/>
      </c>
      <c r="I10" s="25" t="str">
        <f aca="false">IF(ИНФА!$F$24="да",IFERROR(INDEX(ИТОГ!$A$5:$A$16,MATCH(6,ИТОГ!$H$5:$H$16,0)),""),"")</f>
        <v/>
      </c>
      <c r="J10" s="30" t="str">
        <f aca="false">IF(I10="","",INDEX(ИТОГ!$F$5:$F$16,MATCH(6,ИТОГ!$H$5:$H$16,0)))</f>
        <v/>
      </c>
    </row>
    <row r="11" customFormat="false" ht="21.75" hidden="false" customHeight="true" outlineLevel="0" collapsed="false">
      <c r="A11" s="25" t="str">
        <f aca="false">ИНФА!I11</f>
        <v>Кинотеатр</v>
      </c>
      <c r="B11" s="26" t="n">
        <f aca="false">ИНФА!M11</f>
        <v>10000</v>
      </c>
      <c r="C11" s="26" t="n">
        <f aca="false">ROUND(ИНФА!O11*INDEX(СОБЫТИЯ!$B$5:$K$8,MATCH(ИНФА!K11,СОБЫТИЯ!$A$5:$A$8,0),ИНФА!$F$5),0)</f>
        <v>3000</v>
      </c>
      <c r="D11" s="26" t="n">
        <f aca="false">ИНФА!P11</f>
        <v>300</v>
      </c>
      <c r="E11" s="27" t="str">
        <f aca="false">ИНФА!L11</f>
        <v>Электростанция</v>
      </c>
      <c r="F11" s="28" t="n">
        <f aca="false">ИНФА!S11</f>
        <v>3</v>
      </c>
      <c r="H11" s="29" t="str">
        <f aca="false">IF(AND(ИНФА!$F$24="да",I11&lt;&gt;""),7,"")</f>
        <v/>
      </c>
      <c r="I11" s="25" t="str">
        <f aca="false">IF(ИНФА!$F$24="да",IFERROR(INDEX(ИТОГ!$A$5:$A$16,MATCH(7,ИТОГ!$H$5:$H$16,0)),""),"")</f>
        <v/>
      </c>
      <c r="J11" s="30" t="str">
        <f aca="false">IF(I11="","",INDEX(ИТОГ!$F$5:$F$16,MATCH(7,ИТОГ!$H$5:$H$16,0)))</f>
        <v/>
      </c>
    </row>
    <row r="12" customFormat="false" ht="21.75" hidden="false" customHeight="true" outlineLevel="0" collapsed="false">
      <c r="A12" s="25" t="str">
        <f aca="false">ИНФА!I12</f>
        <v>Отель</v>
      </c>
      <c r="B12" s="26" t="n">
        <f aca="false">ИНФА!M12</f>
        <v>12000</v>
      </c>
      <c r="C12" s="26" t="n">
        <f aca="false">ROUND(ИНФА!O12*INDEX(СОБЫТИЯ!$B$5:$K$8,MATCH(ИНФА!K12,СОБЫТИЯ!$A$5:$A$8,0),ИНФА!$F$5),0)</f>
        <v>3500</v>
      </c>
      <c r="D12" s="26" t="n">
        <f aca="false">ИНФА!P12</f>
        <v>400</v>
      </c>
      <c r="E12" s="27" t="str">
        <f aca="false">ИНФА!L12</f>
        <v>Кирпичный завод</v>
      </c>
      <c r="F12" s="28" t="n">
        <f aca="false">ИНФА!S12</f>
        <v>3</v>
      </c>
      <c r="H12" s="29" t="str">
        <f aca="false">IF(AND(ИНФА!$F$24="да",I12&lt;&gt;""),8,"")</f>
        <v/>
      </c>
      <c r="I12" s="25" t="str">
        <f aca="false">IF(ИНФА!$F$24="да",IFERROR(INDEX(ИТОГ!$A$5:$A$16,MATCH(8,ИТОГ!$H$5:$H$16,0)),""),"")</f>
        <v/>
      </c>
      <c r="J12" s="30" t="str">
        <f aca="false">IF(I12="","",INDEX(ИТОГ!$F$5:$F$16,MATCH(8,ИТОГ!$H$5:$H$16,0)))</f>
        <v/>
      </c>
    </row>
    <row r="13" customFormat="false" ht="21.75" hidden="false" customHeight="true" outlineLevel="0" collapsed="false">
      <c r="A13" s="25" t="str">
        <f aca="false">ИНФА!I13</f>
        <v>Бизнес-центр</v>
      </c>
      <c r="B13" s="26" t="n">
        <f aca="false">ИНФА!M13</f>
        <v>15000</v>
      </c>
      <c r="C13" s="26" t="n">
        <f aca="false">ROUND(ИНФА!O13*INDEX(СОБЫТИЯ!$B$5:$K$8,MATCH(ИНФА!K13,СОБЫТИЯ!$A$5:$A$8,0),ИНФА!$F$5),0)</f>
        <v>4000</v>
      </c>
      <c r="D13" s="26" t="n">
        <f aca="false">ИНФА!P13</f>
        <v>400</v>
      </c>
      <c r="E13" s="27" t="str">
        <f aca="false">ИНФА!L13</f>
        <v>Электростанция</v>
      </c>
      <c r="F13" s="28" t="n">
        <f aca="false">ИНФА!S13</f>
        <v>3</v>
      </c>
      <c r="H13" s="29" t="str">
        <f aca="false">IF(AND(ИНФА!$F$24="да",I13&lt;&gt;""),9,"")</f>
        <v/>
      </c>
      <c r="I13" s="25" t="str">
        <f aca="false">IF(ИНФА!$F$24="да",IFERROR(INDEX(ИТОГ!$A$5:$A$16,MATCH(9,ИТОГ!$H$5:$H$16,0)),""),"")</f>
        <v/>
      </c>
      <c r="J13" s="30" t="str">
        <f aca="false">IF(I13="","",INDEX(ИТОГ!$F$5:$F$16,MATCH(9,ИТОГ!$H$5:$H$16,0)))</f>
        <v/>
      </c>
    </row>
    <row r="14" customFormat="false" ht="21.75" hidden="false" customHeight="true" outlineLevel="0" collapsed="false">
      <c r="A14" s="31" t="str">
        <f aca="false">ИНФА!I14</f>
        <v>Лесопилка</v>
      </c>
      <c r="B14" s="32" t="n">
        <f aca="false">ИНФА!M14</f>
        <v>8000</v>
      </c>
      <c r="C14" s="32" t="n">
        <f aca="false">ROUND(ИНФА!O14*INDEX(СОБЫТИЯ!$B$5:$K$8,MATCH(ИНФА!K14,СОБЫТИЯ!$A$5:$A$8,0),ИНФА!$F$5),0)</f>
        <v>2000</v>
      </c>
      <c r="D14" s="32" t="n">
        <f aca="false">ИНФА!P14</f>
        <v>200</v>
      </c>
      <c r="E14" s="33" t="str">
        <f aca="false">ИНФА!L14</f>
        <v>—</v>
      </c>
      <c r="F14" s="34" t="n">
        <f aca="false">ИНФА!S14</f>
        <v>3</v>
      </c>
      <c r="H14" s="29" t="str">
        <f aca="false">IF(AND(ИНФА!$F$24="да",I14&lt;&gt;""),10,"")</f>
        <v/>
      </c>
      <c r="I14" s="25" t="str">
        <f aca="false">IF(ИНФА!$F$24="да",IFERROR(INDEX(ИТОГ!$A$5:$A$16,MATCH(10,ИТОГ!$H$5:$H$16,0)),""),"")</f>
        <v/>
      </c>
      <c r="J14" s="30" t="str">
        <f aca="false">IF(I14="","",INDEX(ИТОГ!$F$5:$F$16,MATCH(10,ИТОГ!$H$5:$H$16,0)))</f>
        <v/>
      </c>
    </row>
    <row r="15" customFormat="false" ht="21.75" hidden="false" customHeight="true" outlineLevel="0" collapsed="false">
      <c r="A15" s="31" t="str">
        <f aca="false">ИНФА!I15</f>
        <v>Кирпичный завод</v>
      </c>
      <c r="B15" s="32" t="n">
        <f aca="false">ИНФА!M15</f>
        <v>9000</v>
      </c>
      <c r="C15" s="32" t="n">
        <f aca="false">ROUND(ИНФА!O15*INDEX(СОБЫТИЯ!$B$5:$K$8,MATCH(ИНФА!K15,СОБЫТИЯ!$A$5:$A$8,0),ИНФА!$F$5),0)</f>
        <v>2500</v>
      </c>
      <c r="D15" s="32" t="n">
        <f aca="false">ИНФА!P15</f>
        <v>300</v>
      </c>
      <c r="E15" s="33" t="str">
        <f aca="false">ИНФА!L15</f>
        <v>—</v>
      </c>
      <c r="F15" s="34" t="n">
        <f aca="false">ИНФА!S15</f>
        <v>3</v>
      </c>
      <c r="H15" s="29" t="str">
        <f aca="false">IF(AND(ИНФА!$F$24="да",I15&lt;&gt;""),11,"")</f>
        <v/>
      </c>
      <c r="I15" s="25" t="str">
        <f aca="false">IF(ИНФА!$F$24="да",IFERROR(INDEX(ИТОГ!$A$5:$A$16,MATCH(11,ИТОГ!$H$5:$H$16,0)),""),"")</f>
        <v/>
      </c>
      <c r="J15" s="30" t="str">
        <f aca="false">IF(I15="","",INDEX(ИТОГ!$F$5:$F$16,MATCH(11,ИТОГ!$H$5:$H$16,0)))</f>
        <v/>
      </c>
    </row>
    <row r="16" customFormat="false" ht="21.75" hidden="false" customHeight="true" outlineLevel="0" collapsed="false">
      <c r="A16" s="31" t="str">
        <f aca="false">ИНФА!I16</f>
        <v>Стекольный завод</v>
      </c>
      <c r="B16" s="32" t="n">
        <f aca="false">ИНФА!M16</f>
        <v>9000</v>
      </c>
      <c r="C16" s="32" t="n">
        <f aca="false">ROUND(ИНФА!O16*INDEX(СОБЫТИЯ!$B$5:$K$8,MATCH(ИНФА!K16,СОБЫТИЯ!$A$5:$A$8,0),ИНФА!$F$5),0)</f>
        <v>2500</v>
      </c>
      <c r="D16" s="32" t="n">
        <f aca="false">ИНФА!P16</f>
        <v>300</v>
      </c>
      <c r="E16" s="33" t="str">
        <f aca="false">ИНФА!L16</f>
        <v>—</v>
      </c>
      <c r="F16" s="34" t="n">
        <f aca="false">ИНФА!S16</f>
        <v>3</v>
      </c>
      <c r="H16" s="29" t="str">
        <f aca="false">IF(AND(ИНФА!$F$24="да",I16&lt;&gt;""),12,"")</f>
        <v/>
      </c>
      <c r="I16" s="25" t="str">
        <f aca="false">IF(ИНФА!$F$24="да",IFERROR(INDEX(ИТОГ!$A$5:$A$16,MATCH(12,ИТОГ!$H$5:$H$16,0)),""),"")</f>
        <v/>
      </c>
      <c r="J16" s="30" t="str">
        <f aca="false">IF(I16="","",INDEX(ИТОГ!$F$5:$F$16,MATCH(12,ИТОГ!$H$5:$H$16,0)))</f>
        <v/>
      </c>
    </row>
    <row r="17" customFormat="false" ht="21.75" hidden="false" customHeight="true" outlineLevel="0" collapsed="false">
      <c r="A17" s="31" t="str">
        <f aca="false">ИНФА!I17</f>
        <v>Пищевой комбинат</v>
      </c>
      <c r="B17" s="32" t="n">
        <f aca="false">ИНФА!M17</f>
        <v>9000</v>
      </c>
      <c r="C17" s="32" t="n">
        <f aca="false">ROUND(ИНФА!O17*INDEX(СОБЫТИЯ!$B$5:$K$8,MATCH(ИНФА!K17,СОБЫТИЯ!$A$5:$A$8,0),ИНФА!$F$5),0)</f>
        <v>2500</v>
      </c>
      <c r="D17" s="32" t="n">
        <f aca="false">ИНФА!P17</f>
        <v>300</v>
      </c>
      <c r="E17" s="33" t="str">
        <f aca="false">ИНФА!L17</f>
        <v>—</v>
      </c>
      <c r="F17" s="34" t="n">
        <f aca="false">ИНФА!S17</f>
        <v>3</v>
      </c>
    </row>
    <row r="18" customFormat="false" ht="21.75" hidden="false" customHeight="true" outlineLevel="0" collapsed="false">
      <c r="A18" s="31" t="str">
        <f aca="false">ИНФА!I18</f>
        <v>Электростанция</v>
      </c>
      <c r="B18" s="32" t="n">
        <f aca="false">ИНФА!M18</f>
        <v>10000</v>
      </c>
      <c r="C18" s="32" t="n">
        <f aca="false">ROUND(ИНФА!O18*INDEX(СОБЫТИЯ!$B$5:$K$8,MATCH(ИНФА!K18,СОБЫТИЯ!$A$5:$A$8,0),ИНФА!$F$5),0)</f>
        <v>2500</v>
      </c>
      <c r="D18" s="32" t="n">
        <f aca="false">ИНФА!P18</f>
        <v>300</v>
      </c>
      <c r="E18" s="33" t="str">
        <f aca="false">ИНФА!L18</f>
        <v>—</v>
      </c>
      <c r="F18" s="34" t="n">
        <f aca="false">ИНФА!S18</f>
        <v>3</v>
      </c>
    </row>
    <row r="19" customFormat="false" ht="21.75" hidden="false" customHeight="true" outlineLevel="0" collapsed="false">
      <c r="A19" s="31" t="str">
        <f aca="false">ИНФА!I19</f>
        <v>Металлоперерабатывающий завод</v>
      </c>
      <c r="B19" s="32" t="n">
        <f aca="false">ИНФА!M19</f>
        <v>10000</v>
      </c>
      <c r="C19" s="32" t="n">
        <f aca="false">ROUND(ИНФА!O19*INDEX(СОБЫТИЯ!$B$5:$K$8,MATCH(ИНФА!K19,СОБЫТИЯ!$A$5:$A$8,0),ИНФА!$F$5),0)</f>
        <v>2500</v>
      </c>
      <c r="D19" s="32" t="n">
        <f aca="false">ИНФА!P19</f>
        <v>300</v>
      </c>
      <c r="E19" s="33" t="str">
        <f aca="false">ИНФА!L19</f>
        <v>—</v>
      </c>
      <c r="F19" s="34" t="n">
        <f aca="false">ИНФА!S19</f>
        <v>3</v>
      </c>
    </row>
    <row r="21" customFormat="false" ht="15" hidden="false" customHeight="false" outlineLevel="0" collapsed="false">
      <c r="A21" s="2" t="s">
        <v>216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8" t="s">
        <v>217</v>
      </c>
    </row>
    <row r="2" customFormat="false" ht="15" hidden="false" customHeight="false" outlineLevel="0" collapsed="false">
      <c r="A2" s="2" t="s">
        <v>218</v>
      </c>
    </row>
    <row r="3" customFormat="false" ht="15" hidden="false" customHeight="false" outlineLevel="0" collapsed="false">
      <c r="A3" s="35" t="str">
        <f aca="false">"Цикл "&amp;ИНФА!$F$5&amp;" из "&amp;ИНФА!$F$6&amp;"   ·   команд в игре: "&amp;ИНФА!$F$25</f>
        <v>Цикл 1 из 8   ·   команд в игре: 6</v>
      </c>
    </row>
    <row r="4" customFormat="false" ht="42" hidden="false" customHeight="true" outlineLevel="0" collapsed="false">
      <c r="A4" s="9" t="s">
        <v>100</v>
      </c>
      <c r="B4" s="9" t="s">
        <v>219</v>
      </c>
      <c r="C4" s="9" t="s">
        <v>220</v>
      </c>
      <c r="D4" s="9" t="s">
        <v>221</v>
      </c>
      <c r="E4" s="9" t="s">
        <v>222</v>
      </c>
      <c r="F4" s="9" t="s">
        <v>223</v>
      </c>
      <c r="G4" s="9" t="s">
        <v>224</v>
      </c>
      <c r="H4" s="9" t="s">
        <v>225</v>
      </c>
      <c r="I4" s="9" t="s">
        <v>226</v>
      </c>
    </row>
    <row r="5" customFormat="false" ht="15" hidden="false" customHeight="false" outlineLevel="0" collapsed="false">
      <c r="A5" s="36" t="str">
        <f aca="false">IF(ИНФА!$C$5="да",ИНФА!$B$5,"")</f>
        <v>Прорыв</v>
      </c>
      <c r="B5" s="37" t="n">
        <f aca="false">IF($A5="","",COUNTIFS(ИНФРАСТРУКТУРА!$B$5:$B$204,$A5,ИНФРАСТРУКТУРА!$C$5:$C$204,"&lt;&gt;",ИНФРАСТРУКТУРА!$T$5:$T$204,""))</f>
        <v>0</v>
      </c>
      <c r="C5" s="38" t="n">
        <f aca="false">IF($A5="","",SUMIFS(ИНФРАСТРУКТУРА!$Z$5:$Z$204,ИНФРАСТРУКТУРА!$B$5:$B$204,$A5))</f>
        <v>0</v>
      </c>
      <c r="D5" s="38" t="n">
        <f aca="false">IF($A5="","",SUMIFS(БАНК!$N$22:$N$61,БАНК!$A$22:$A$61,$A5))</f>
        <v>0</v>
      </c>
      <c r="E5" s="38" t="n">
        <f aca="false">IF($A5="","",SUMIFS('ГРАЖДАНСКИЕ СЕРВИСЫ'!$O$5:$O$64,'ГРАЖДАНСКИЕ СЕРВИСЫ'!$K$5:$K$64,$A5,'ГРАЖДАНСКИЕ СЕРВИСЫ'!$P$5:$P$64,"&lt;&gt;да"))</f>
        <v>0</v>
      </c>
      <c r="F5" s="39" t="n">
        <f aca="false">IF($A5="","",C5-D5-E5)</f>
        <v>0</v>
      </c>
      <c r="G5" s="37" t="n">
        <f aca="false">IF($A5="","",COUNTIFS('ГРАЖДАНСКИЕ СЕРВИСЫ'!$K$5:$K$64,$A5))</f>
        <v>0</v>
      </c>
      <c r="H5" s="40" t="n">
        <f aca="false">IF($A5="","",1+COUNTIF($F$5:$F$16,"&gt;"&amp;$F5)+COUNTIFS($F$5:$F$16,$F5,$D$5:$D$16,"&lt;"&amp;$D5)+COUNTIFS($F$5:$F$16,$F5,$D$5:$D$16,$D5,$B$5:$B$16,"&gt;"&amp;$B5)+COUNTIFS($F$5:$F$16,$F5,$D$5:$D$16,$D5,$B$5:$B$16,$B5,$G$5:$G$16,"&lt;"&amp;$G5))</f>
        <v>1</v>
      </c>
      <c r="I5" s="38" t="n">
        <f aca="false">IF($A5="","",БАНК!F5)</f>
        <v>0</v>
      </c>
    </row>
    <row r="6" customFormat="false" ht="15" hidden="false" customHeight="false" outlineLevel="0" collapsed="false">
      <c r="A6" s="36" t="str">
        <f aca="false">IF(ИНФА!$C$6="да",ИНФА!$B$6,"")</f>
        <v>Финфлоу</v>
      </c>
      <c r="B6" s="37" t="n">
        <f aca="false">IF($A6="","",COUNTIFS(ИНФРАСТРУКТУРА!$B$5:$B$204,$A6,ИНФРАСТРУКТУРА!$C$5:$C$204,"&lt;&gt;",ИНФРАСТРУКТУРА!$T$5:$T$204,""))</f>
        <v>0</v>
      </c>
      <c r="C6" s="38" t="n">
        <f aca="false">IF($A6="","",SUMIFS(ИНФРАСТРУКТУРА!$Z$5:$Z$204,ИНФРАСТРУКТУРА!$B$5:$B$204,$A6))</f>
        <v>0</v>
      </c>
      <c r="D6" s="38" t="n">
        <f aca="false">IF($A6="","",SUMIFS(БАНК!$N$22:$N$61,БАНК!$A$22:$A$61,$A6))</f>
        <v>0</v>
      </c>
      <c r="E6" s="38" t="n">
        <f aca="false">IF($A6="","",SUMIFS('ГРАЖДАНСКИЕ СЕРВИСЫ'!$O$5:$O$64,'ГРАЖДАНСКИЕ СЕРВИСЫ'!$K$5:$K$64,$A6,'ГРАЖДАНСКИЕ СЕРВИСЫ'!$P$5:$P$64,"&lt;&gt;да"))</f>
        <v>0</v>
      </c>
      <c r="F6" s="39" t="n">
        <f aca="false">IF($A6="","",C6-D6-E6)</f>
        <v>0</v>
      </c>
      <c r="G6" s="37" t="n">
        <f aca="false">IF($A6="","",COUNTIFS('ГРАЖДАНСКИЕ СЕРВИСЫ'!$K$5:$K$64,$A6))</f>
        <v>0</v>
      </c>
      <c r="H6" s="40" t="n">
        <f aca="false">IF($A6="","",1+COUNTIF($F$5:$F$16,"&gt;"&amp;$F6)+COUNTIFS($F$5:$F$16,$F6,$D$5:$D$16,"&lt;"&amp;$D6)+COUNTIFS($F$5:$F$16,$F6,$D$5:$D$16,$D6,$B$5:$B$16,"&gt;"&amp;$B6)+COUNTIFS($F$5:$F$16,$F6,$D$5:$D$16,$D6,$B$5:$B$16,$B6,$G$5:$G$16,"&lt;"&amp;$G6))</f>
        <v>1</v>
      </c>
      <c r="I6" s="38" t="n">
        <f aca="false">IF($A6="","",БАНК!F6)</f>
        <v>0</v>
      </c>
    </row>
    <row r="7" customFormat="false" ht="15" hidden="false" customHeight="false" outlineLevel="0" collapsed="false">
      <c r="A7" s="36" t="str">
        <f aca="false">IF(ИНФА!$C$7="да",ИНФА!$B$7,"")</f>
        <v>Синерс</v>
      </c>
      <c r="B7" s="37" t="n">
        <f aca="false">IF($A7="","",COUNTIFS(ИНФРАСТРУКТУРА!$B$5:$B$204,$A7,ИНФРАСТРУКТУРА!$C$5:$C$204,"&lt;&gt;",ИНФРАСТРУКТУРА!$T$5:$T$204,""))</f>
        <v>0</v>
      </c>
      <c r="C7" s="38" t="n">
        <f aca="false">IF($A7="","",SUMIFS(ИНФРАСТРУКТУРА!$Z$5:$Z$204,ИНФРАСТРУКТУРА!$B$5:$B$204,$A7))</f>
        <v>0</v>
      </c>
      <c r="D7" s="38" t="n">
        <f aca="false">IF($A7="","",SUMIFS(БАНК!$N$22:$N$61,БАНК!$A$22:$A$61,$A7))</f>
        <v>0</v>
      </c>
      <c r="E7" s="38" t="n">
        <f aca="false">IF($A7="","",SUMIFS('ГРАЖДАНСКИЕ СЕРВИСЫ'!$O$5:$O$64,'ГРАЖДАНСКИЕ СЕРВИСЫ'!$K$5:$K$64,$A7,'ГРАЖДАНСКИЕ СЕРВИСЫ'!$P$5:$P$64,"&lt;&gt;да"))</f>
        <v>0</v>
      </c>
      <c r="F7" s="39" t="n">
        <f aca="false">IF($A7="","",C7-D7-E7)</f>
        <v>0</v>
      </c>
      <c r="G7" s="37" t="n">
        <f aca="false">IF($A7="","",COUNTIFS('ГРАЖДАНСКИЕ СЕРВИСЫ'!$K$5:$K$64,$A7))</f>
        <v>0</v>
      </c>
      <c r="H7" s="40" t="n">
        <f aca="false">IF($A7="","",1+COUNTIF($F$5:$F$16,"&gt;"&amp;$F7)+COUNTIFS($F$5:$F$16,$F7,$D$5:$D$16,"&lt;"&amp;$D7)+COUNTIFS($F$5:$F$16,$F7,$D$5:$D$16,$D7,$B$5:$B$16,"&gt;"&amp;$B7)+COUNTIFS($F$5:$F$16,$F7,$D$5:$D$16,$D7,$B$5:$B$16,$B7,$G$5:$G$16,"&lt;"&amp;$G7))</f>
        <v>1</v>
      </c>
      <c r="I7" s="38" t="n">
        <f aca="false">IF($A7="","",БАНК!F7)</f>
        <v>0</v>
      </c>
    </row>
    <row r="8" customFormat="false" ht="15" hidden="false" customHeight="false" outlineLevel="0" collapsed="false">
      <c r="A8" s="36" t="str">
        <f aca="false">IF(ИНФА!$C$8="да",ИНФА!$B$8,"")</f>
        <v>Горизонт</v>
      </c>
      <c r="B8" s="37" t="n">
        <f aca="false">IF($A8="","",COUNTIFS(ИНФРАСТРУКТУРА!$B$5:$B$204,$A8,ИНФРАСТРУКТУРА!$C$5:$C$204,"&lt;&gt;",ИНФРАСТРУКТУРА!$T$5:$T$204,""))</f>
        <v>0</v>
      </c>
      <c r="C8" s="38" t="n">
        <f aca="false">IF($A8="","",SUMIFS(ИНФРАСТРУКТУРА!$Z$5:$Z$204,ИНФРАСТРУКТУРА!$B$5:$B$204,$A8))</f>
        <v>0</v>
      </c>
      <c r="D8" s="38" t="n">
        <f aca="false">IF($A8="","",SUMIFS(БАНК!$N$22:$N$61,БАНК!$A$22:$A$61,$A8))</f>
        <v>0</v>
      </c>
      <c r="E8" s="38" t="n">
        <f aca="false">IF($A8="","",SUMIFS('ГРАЖДАНСКИЕ СЕРВИСЫ'!$O$5:$O$64,'ГРАЖДАНСКИЕ СЕРВИСЫ'!$K$5:$K$64,$A8,'ГРАЖДАНСКИЕ СЕРВИСЫ'!$P$5:$P$64,"&lt;&gt;да"))</f>
        <v>0</v>
      </c>
      <c r="F8" s="39" t="n">
        <f aca="false">IF($A8="","",C8-D8-E8)</f>
        <v>0</v>
      </c>
      <c r="G8" s="37" t="n">
        <f aca="false">IF($A8="","",COUNTIFS('ГРАЖДАНСКИЕ СЕРВИСЫ'!$K$5:$K$64,$A8))</f>
        <v>0</v>
      </c>
      <c r="H8" s="40" t="n">
        <f aca="false">IF($A8="","",1+COUNTIF($F$5:$F$16,"&gt;"&amp;$F8)+COUNTIFS($F$5:$F$16,$F8,$D$5:$D$16,"&lt;"&amp;$D8)+COUNTIFS($F$5:$F$16,$F8,$D$5:$D$16,$D8,$B$5:$B$16,"&gt;"&amp;$B8)+COUNTIFS($F$5:$F$16,$F8,$D$5:$D$16,$D8,$B$5:$B$16,$B8,$G$5:$G$16,"&lt;"&amp;$G8))</f>
        <v>1</v>
      </c>
      <c r="I8" s="38" t="n">
        <f aca="false">IF($A8="","",БАНК!F8)</f>
        <v>0</v>
      </c>
    </row>
    <row r="9" customFormat="false" ht="15" hidden="false" customHeight="false" outlineLevel="0" collapsed="false">
      <c r="A9" s="36" t="str">
        <f aca="false">IF(ИНФА!$C$9="да",ИНФА!$B$9,"")</f>
        <v>Вектор</v>
      </c>
      <c r="B9" s="37" t="n">
        <f aca="false">IF($A9="","",COUNTIFS(ИНФРАСТРУКТУРА!$B$5:$B$204,$A9,ИНФРАСТРУКТУРА!$C$5:$C$204,"&lt;&gt;",ИНФРАСТРУКТУРА!$T$5:$T$204,""))</f>
        <v>0</v>
      </c>
      <c r="C9" s="38" t="n">
        <f aca="false">IF($A9="","",SUMIFS(ИНФРАСТРУКТУРА!$Z$5:$Z$204,ИНФРАСТРУКТУРА!$B$5:$B$204,$A9))</f>
        <v>0</v>
      </c>
      <c r="D9" s="38" t="n">
        <f aca="false">IF($A9="","",SUMIFS(БАНК!$N$22:$N$61,БАНК!$A$22:$A$61,$A9))</f>
        <v>0</v>
      </c>
      <c r="E9" s="38" t="n">
        <f aca="false">IF($A9="","",SUMIFS('ГРАЖДАНСКИЕ СЕРВИСЫ'!$O$5:$O$64,'ГРАЖДАНСКИЕ СЕРВИСЫ'!$K$5:$K$64,$A9,'ГРАЖДАНСКИЕ СЕРВИСЫ'!$P$5:$P$64,"&lt;&gt;да"))</f>
        <v>0</v>
      </c>
      <c r="F9" s="39" t="n">
        <f aca="false">IF($A9="","",C9-D9-E9)</f>
        <v>0</v>
      </c>
      <c r="G9" s="37" t="n">
        <f aca="false">IF($A9="","",COUNTIFS('ГРАЖДАНСКИЕ СЕРВИСЫ'!$K$5:$K$64,$A9))</f>
        <v>0</v>
      </c>
      <c r="H9" s="40" t="n">
        <f aca="false">IF($A9="","",1+COUNTIF($F$5:$F$16,"&gt;"&amp;$F9)+COUNTIFS($F$5:$F$16,$F9,$D$5:$D$16,"&lt;"&amp;$D9)+COUNTIFS($F$5:$F$16,$F9,$D$5:$D$16,$D9,$B$5:$B$16,"&gt;"&amp;$B9)+COUNTIFS($F$5:$F$16,$F9,$D$5:$D$16,$D9,$B$5:$B$16,$B9,$G$5:$G$16,"&lt;"&amp;$G9))</f>
        <v>1</v>
      </c>
      <c r="I9" s="38" t="n">
        <f aca="false">IF($A9="","",БАНК!F9)</f>
        <v>0</v>
      </c>
    </row>
    <row r="10" customFormat="false" ht="15" hidden="false" customHeight="false" outlineLevel="0" collapsed="false">
      <c r="A10" s="36" t="str">
        <f aca="false">IF(ИНФА!$C$10="да",ИНФА!$B$10,"")</f>
        <v>Импульс</v>
      </c>
      <c r="B10" s="37" t="n">
        <f aca="false">IF($A10="","",COUNTIFS(ИНФРАСТРУКТУРА!$B$5:$B$204,$A10,ИНФРАСТРУКТУРА!$C$5:$C$204,"&lt;&gt;",ИНФРАСТРУКТУРА!$T$5:$T$204,""))</f>
        <v>0</v>
      </c>
      <c r="C10" s="38" t="n">
        <f aca="false">IF($A10="","",SUMIFS(ИНФРАСТРУКТУРА!$Z$5:$Z$204,ИНФРАСТРУКТУРА!$B$5:$B$204,$A10))</f>
        <v>0</v>
      </c>
      <c r="D10" s="38" t="n">
        <f aca="false">IF($A10="","",SUMIFS(БАНК!$N$22:$N$61,БАНК!$A$22:$A$61,$A10))</f>
        <v>0</v>
      </c>
      <c r="E10" s="38" t="n">
        <f aca="false">IF($A10="","",SUMIFS('ГРАЖДАНСКИЕ СЕРВИСЫ'!$O$5:$O$64,'ГРАЖДАНСКИЕ СЕРВИСЫ'!$K$5:$K$64,$A10,'ГРАЖДАНСКИЕ СЕРВИСЫ'!$P$5:$P$64,"&lt;&gt;да"))</f>
        <v>0</v>
      </c>
      <c r="F10" s="39" t="n">
        <f aca="false">IF($A10="","",C10-D10-E10)</f>
        <v>0</v>
      </c>
      <c r="G10" s="37" t="n">
        <f aca="false">IF($A10="","",COUNTIFS('ГРАЖДАНСКИЕ СЕРВИСЫ'!$K$5:$K$64,$A10))</f>
        <v>0</v>
      </c>
      <c r="H10" s="40" t="n">
        <f aca="false">IF($A10="","",1+COUNTIF($F$5:$F$16,"&gt;"&amp;$F10)+COUNTIFS($F$5:$F$16,$F10,$D$5:$D$16,"&lt;"&amp;$D10)+COUNTIFS($F$5:$F$16,$F10,$D$5:$D$16,$D10,$B$5:$B$16,"&gt;"&amp;$B10)+COUNTIFS($F$5:$F$16,$F10,$D$5:$D$16,$D10,$B$5:$B$16,$B10,$G$5:$G$16,"&lt;"&amp;$G10))</f>
        <v>1</v>
      </c>
      <c r="I10" s="38" t="n">
        <f aca="false">IF($A10="","",БАНК!F10)</f>
        <v>0</v>
      </c>
    </row>
    <row r="11" customFormat="false" ht="15" hidden="false" customHeight="false" outlineLevel="0" collapsed="false">
      <c r="A11" s="36" t="str">
        <f aca="false">IF(ИНФА!$C$11="да",ИНФА!$B$11,"")</f>
        <v/>
      </c>
      <c r="B11" s="37" t="str">
        <f aca="false">IF($A11="","",COUNTIFS(ИНФРАСТРУКТУРА!$B$5:$B$204,$A11,ИНФРАСТРУКТУРА!$C$5:$C$204,"&lt;&gt;",ИНФРАСТРУКТУРА!$T$5:$T$204,""))</f>
        <v/>
      </c>
      <c r="C11" s="38" t="str">
        <f aca="false">IF($A11="","",SUMIFS(ИНФРАСТРУКТУРА!$Z$5:$Z$204,ИНФРАСТРУКТУРА!$B$5:$B$204,$A11))</f>
        <v/>
      </c>
      <c r="D11" s="38" t="str">
        <f aca="false">IF($A11="","",SUMIFS(БАНК!$N$22:$N$61,БАНК!$A$22:$A$61,$A11))</f>
        <v/>
      </c>
      <c r="E11" s="38" t="str">
        <f aca="false">IF($A11="","",SUMIFS('ГРАЖДАНСКИЕ СЕРВИСЫ'!$O$5:$O$64,'ГРАЖДАНСКИЕ СЕРВИСЫ'!$K$5:$K$64,$A11,'ГРАЖДАНСКИЕ СЕРВИСЫ'!$P$5:$P$64,"&lt;&gt;да"))</f>
        <v/>
      </c>
      <c r="F11" s="39" t="str">
        <f aca="false">IF($A11="","",C11-D11-E11)</f>
        <v/>
      </c>
      <c r="G11" s="37" t="str">
        <f aca="false">IF($A11="","",COUNTIFS('ГРАЖДАНСКИЕ СЕРВИСЫ'!$K$5:$K$64,$A11))</f>
        <v/>
      </c>
      <c r="H11" s="40" t="str">
        <f aca="false">IF($A11="","",1+COUNTIF($F$5:$F$16,"&gt;"&amp;$F11)+COUNTIFS($F$5:$F$16,$F11,$D$5:$D$16,"&lt;"&amp;$D11)+COUNTIFS($F$5:$F$16,$F11,$D$5:$D$16,$D11,$B$5:$B$16,"&gt;"&amp;$B11)+COUNTIFS($F$5:$F$16,$F11,$D$5:$D$16,$D11,$B$5:$B$16,$B11,$G$5:$G$16,"&lt;"&amp;$G11))</f>
        <v/>
      </c>
      <c r="I11" s="38" t="str">
        <f aca="false">IF($A11="","",БАНК!F11)</f>
        <v/>
      </c>
    </row>
    <row r="12" customFormat="false" ht="15" hidden="false" customHeight="false" outlineLevel="0" collapsed="false">
      <c r="A12" s="36" t="str">
        <f aca="false">IF(ИНФА!$C$12="да",ИНФА!$B$12,"")</f>
        <v/>
      </c>
      <c r="B12" s="37" t="str">
        <f aca="false">IF($A12="","",COUNTIFS(ИНФРАСТРУКТУРА!$B$5:$B$204,$A12,ИНФРАСТРУКТУРА!$C$5:$C$204,"&lt;&gt;",ИНФРАСТРУКТУРА!$T$5:$T$204,""))</f>
        <v/>
      </c>
      <c r="C12" s="38" t="str">
        <f aca="false">IF($A12="","",SUMIFS(ИНФРАСТРУКТУРА!$Z$5:$Z$204,ИНФРАСТРУКТУРА!$B$5:$B$204,$A12))</f>
        <v/>
      </c>
      <c r="D12" s="38" t="str">
        <f aca="false">IF($A12="","",SUMIFS(БАНК!$N$22:$N$61,БАНК!$A$22:$A$61,$A12))</f>
        <v/>
      </c>
      <c r="E12" s="38" t="str">
        <f aca="false">IF($A12="","",SUMIFS('ГРАЖДАНСКИЕ СЕРВИСЫ'!$O$5:$O$64,'ГРАЖДАНСКИЕ СЕРВИСЫ'!$K$5:$K$64,$A12,'ГРАЖДАНСКИЕ СЕРВИСЫ'!$P$5:$P$64,"&lt;&gt;да"))</f>
        <v/>
      </c>
      <c r="F12" s="39" t="str">
        <f aca="false">IF($A12="","",C12-D12-E12)</f>
        <v/>
      </c>
      <c r="G12" s="37" t="str">
        <f aca="false">IF($A12="","",COUNTIFS('ГРАЖДАНСКИЕ СЕРВИСЫ'!$K$5:$K$64,$A12))</f>
        <v/>
      </c>
      <c r="H12" s="40" t="str">
        <f aca="false">IF($A12="","",1+COUNTIF($F$5:$F$16,"&gt;"&amp;$F12)+COUNTIFS($F$5:$F$16,$F12,$D$5:$D$16,"&lt;"&amp;$D12)+COUNTIFS($F$5:$F$16,$F12,$D$5:$D$16,$D12,$B$5:$B$16,"&gt;"&amp;$B12)+COUNTIFS($F$5:$F$16,$F12,$D$5:$D$16,$D12,$B$5:$B$16,$B12,$G$5:$G$16,"&lt;"&amp;$G12))</f>
        <v/>
      </c>
      <c r="I12" s="38" t="str">
        <f aca="false">IF($A12="","",БАНК!F12)</f>
        <v/>
      </c>
    </row>
    <row r="13" customFormat="false" ht="15" hidden="false" customHeight="false" outlineLevel="0" collapsed="false">
      <c r="A13" s="36" t="str">
        <f aca="false">IF(ИНФА!$C$13="да",ИНФА!$B$13,"")</f>
        <v/>
      </c>
      <c r="B13" s="37" t="str">
        <f aca="false">IF($A13="","",COUNTIFS(ИНФРАСТРУКТУРА!$B$5:$B$204,$A13,ИНФРАСТРУКТУРА!$C$5:$C$204,"&lt;&gt;",ИНФРАСТРУКТУРА!$T$5:$T$204,""))</f>
        <v/>
      </c>
      <c r="C13" s="38" t="str">
        <f aca="false">IF($A13="","",SUMIFS(ИНФРАСТРУКТУРА!$Z$5:$Z$204,ИНФРАСТРУКТУРА!$B$5:$B$204,$A13))</f>
        <v/>
      </c>
      <c r="D13" s="38" t="str">
        <f aca="false">IF($A13="","",SUMIFS(БАНК!$N$22:$N$61,БАНК!$A$22:$A$61,$A13))</f>
        <v/>
      </c>
      <c r="E13" s="38" t="str">
        <f aca="false">IF($A13="","",SUMIFS('ГРАЖДАНСКИЕ СЕРВИСЫ'!$O$5:$O$64,'ГРАЖДАНСКИЕ СЕРВИСЫ'!$K$5:$K$64,$A13,'ГРАЖДАНСКИЕ СЕРВИСЫ'!$P$5:$P$64,"&lt;&gt;да"))</f>
        <v/>
      </c>
      <c r="F13" s="39" t="str">
        <f aca="false">IF($A13="","",C13-D13-E13)</f>
        <v/>
      </c>
      <c r="G13" s="37" t="str">
        <f aca="false">IF($A13="","",COUNTIFS('ГРАЖДАНСКИЕ СЕРВИСЫ'!$K$5:$K$64,$A13))</f>
        <v/>
      </c>
      <c r="H13" s="40" t="str">
        <f aca="false">IF($A13="","",1+COUNTIF($F$5:$F$16,"&gt;"&amp;$F13)+COUNTIFS($F$5:$F$16,$F13,$D$5:$D$16,"&lt;"&amp;$D13)+COUNTIFS($F$5:$F$16,$F13,$D$5:$D$16,$D13,$B$5:$B$16,"&gt;"&amp;$B13)+COUNTIFS($F$5:$F$16,$F13,$D$5:$D$16,$D13,$B$5:$B$16,$B13,$G$5:$G$16,"&lt;"&amp;$G13))</f>
        <v/>
      </c>
      <c r="I13" s="38" t="str">
        <f aca="false">IF($A13="","",БАНК!F13)</f>
        <v/>
      </c>
    </row>
    <row r="14" customFormat="false" ht="15" hidden="false" customHeight="false" outlineLevel="0" collapsed="false">
      <c r="A14" s="36" t="str">
        <f aca="false">IF(ИНФА!$C$14="да",ИНФА!$B$14,"")</f>
        <v/>
      </c>
      <c r="B14" s="37" t="str">
        <f aca="false">IF($A14="","",COUNTIFS(ИНФРАСТРУКТУРА!$B$5:$B$204,$A14,ИНФРАСТРУКТУРА!$C$5:$C$204,"&lt;&gt;",ИНФРАСТРУКТУРА!$T$5:$T$204,""))</f>
        <v/>
      </c>
      <c r="C14" s="38" t="str">
        <f aca="false">IF($A14="","",SUMIFS(ИНФРАСТРУКТУРА!$Z$5:$Z$204,ИНФРАСТРУКТУРА!$B$5:$B$204,$A14))</f>
        <v/>
      </c>
      <c r="D14" s="38" t="str">
        <f aca="false">IF($A14="","",SUMIFS(БАНК!$N$22:$N$61,БАНК!$A$22:$A$61,$A14))</f>
        <v/>
      </c>
      <c r="E14" s="38" t="str">
        <f aca="false">IF($A14="","",SUMIFS('ГРАЖДАНСКИЕ СЕРВИСЫ'!$O$5:$O$64,'ГРАЖДАНСКИЕ СЕРВИСЫ'!$K$5:$K$64,$A14,'ГРАЖДАНСКИЕ СЕРВИСЫ'!$P$5:$P$64,"&lt;&gt;да"))</f>
        <v/>
      </c>
      <c r="F14" s="39" t="str">
        <f aca="false">IF($A14="","",C14-D14-E14)</f>
        <v/>
      </c>
      <c r="G14" s="37" t="str">
        <f aca="false">IF($A14="","",COUNTIFS('ГРАЖДАНСКИЕ СЕРВИСЫ'!$K$5:$K$64,$A14))</f>
        <v/>
      </c>
      <c r="H14" s="40" t="str">
        <f aca="false">IF($A14="","",1+COUNTIF($F$5:$F$16,"&gt;"&amp;$F14)+COUNTIFS($F$5:$F$16,$F14,$D$5:$D$16,"&lt;"&amp;$D14)+COUNTIFS($F$5:$F$16,$F14,$D$5:$D$16,$D14,$B$5:$B$16,"&gt;"&amp;$B14)+COUNTIFS($F$5:$F$16,$F14,$D$5:$D$16,$D14,$B$5:$B$16,$B14,$G$5:$G$16,"&lt;"&amp;$G14))</f>
        <v/>
      </c>
      <c r="I14" s="38" t="str">
        <f aca="false">IF($A14="","",БАНК!F14)</f>
        <v/>
      </c>
    </row>
    <row r="15" customFormat="false" ht="15" hidden="false" customHeight="false" outlineLevel="0" collapsed="false">
      <c r="A15" s="36" t="str">
        <f aca="false">IF(ИНФА!$C$15="да",ИНФА!$B$15,"")</f>
        <v/>
      </c>
      <c r="B15" s="37" t="str">
        <f aca="false">IF($A15="","",COUNTIFS(ИНФРАСТРУКТУРА!$B$5:$B$204,$A15,ИНФРАСТРУКТУРА!$C$5:$C$204,"&lt;&gt;",ИНФРАСТРУКТУРА!$T$5:$T$204,""))</f>
        <v/>
      </c>
      <c r="C15" s="38" t="str">
        <f aca="false">IF($A15="","",SUMIFS(ИНФРАСТРУКТУРА!$Z$5:$Z$204,ИНФРАСТРУКТУРА!$B$5:$B$204,$A15))</f>
        <v/>
      </c>
      <c r="D15" s="38" t="str">
        <f aca="false">IF($A15="","",SUMIFS(БАНК!$N$22:$N$61,БАНК!$A$22:$A$61,$A15))</f>
        <v/>
      </c>
      <c r="E15" s="38" t="str">
        <f aca="false">IF($A15="","",SUMIFS('ГРАЖДАНСКИЕ СЕРВИСЫ'!$O$5:$O$64,'ГРАЖДАНСКИЕ СЕРВИСЫ'!$K$5:$K$64,$A15,'ГРАЖДАНСКИЕ СЕРВИСЫ'!$P$5:$P$64,"&lt;&gt;да"))</f>
        <v/>
      </c>
      <c r="F15" s="39" t="str">
        <f aca="false">IF($A15="","",C15-D15-E15)</f>
        <v/>
      </c>
      <c r="G15" s="37" t="str">
        <f aca="false">IF($A15="","",COUNTIFS('ГРАЖДАНСКИЕ СЕРВИСЫ'!$K$5:$K$64,$A15))</f>
        <v/>
      </c>
      <c r="H15" s="40" t="str">
        <f aca="false">IF($A15="","",1+COUNTIF($F$5:$F$16,"&gt;"&amp;$F15)+COUNTIFS($F$5:$F$16,$F15,$D$5:$D$16,"&lt;"&amp;$D15)+COUNTIFS($F$5:$F$16,$F15,$D$5:$D$16,$D15,$B$5:$B$16,"&gt;"&amp;$B15)+COUNTIFS($F$5:$F$16,$F15,$D$5:$D$16,$D15,$B$5:$B$16,$B15,$G$5:$G$16,"&lt;"&amp;$G15))</f>
        <v/>
      </c>
      <c r="I15" s="38" t="str">
        <f aca="false">IF($A15="","",БАНК!F15)</f>
        <v/>
      </c>
    </row>
    <row r="16" customFormat="false" ht="15" hidden="false" customHeight="false" outlineLevel="0" collapsed="false">
      <c r="A16" s="36" t="str">
        <f aca="false">IF(ИНФА!$C$16="да",ИНФА!$B$16,"")</f>
        <v/>
      </c>
      <c r="B16" s="37" t="str">
        <f aca="false">IF($A16="","",COUNTIFS(ИНФРАСТРУКТУРА!$B$5:$B$204,$A16,ИНФРАСТРУКТУРА!$C$5:$C$204,"&lt;&gt;",ИНФРАСТРУКТУРА!$T$5:$T$204,""))</f>
        <v/>
      </c>
      <c r="C16" s="38" t="str">
        <f aca="false">IF($A16="","",SUMIFS(ИНФРАСТРУКТУРА!$Z$5:$Z$204,ИНФРАСТРУКТУРА!$B$5:$B$204,$A16))</f>
        <v/>
      </c>
      <c r="D16" s="38" t="str">
        <f aca="false">IF($A16="","",SUMIFS(БАНК!$N$22:$N$61,БАНК!$A$22:$A$61,$A16))</f>
        <v/>
      </c>
      <c r="E16" s="38" t="str">
        <f aca="false">IF($A16="","",SUMIFS('ГРАЖДАНСКИЕ СЕРВИСЫ'!$O$5:$O$64,'ГРАЖДАНСКИЕ СЕРВИСЫ'!$K$5:$K$64,$A16,'ГРАЖДАНСКИЕ СЕРВИСЫ'!$P$5:$P$64,"&lt;&gt;да"))</f>
        <v/>
      </c>
      <c r="F16" s="39" t="str">
        <f aca="false">IF($A16="","",C16-D16-E16)</f>
        <v/>
      </c>
      <c r="G16" s="37" t="str">
        <f aca="false">IF($A16="","",COUNTIFS('ГРАЖДАНСКИЕ СЕРВИСЫ'!$K$5:$K$64,$A16))</f>
        <v/>
      </c>
      <c r="H16" s="40" t="str">
        <f aca="false">IF($A16="","",1+COUNTIF($F$5:$F$16,"&gt;"&amp;$F16)+COUNTIFS($F$5:$F$16,$F16,$D$5:$D$16,"&lt;"&amp;$D16)+COUNTIFS($F$5:$F$16,$F16,$D$5:$D$16,$D16,$B$5:$B$16,"&gt;"&amp;$B16)+COUNTIFS($F$5:$F$16,$F16,$D$5:$D$16,$D16,$B$5:$B$16,$B16,$G$5:$G$16,"&lt;"&amp;$G16))</f>
        <v/>
      </c>
      <c r="I16" s="38" t="str">
        <f aca="false">IF($A16="","",БАНК!F16)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false"/>
  </sheetPr>
  <dimension ref="A1:Z8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16" min="7" style="0" width="9"/>
    <col collapsed="false" customWidth="true" hidden="false" outlineLevel="0" max="17" min="17" style="0" width="26"/>
    <col collapsed="false" customWidth="true" hidden="false" outlineLevel="0" max="18" min="18" style="0" width="16"/>
    <col collapsed="false" customWidth="true" hidden="false" outlineLevel="0" max="19" min="19" style="0" width="11"/>
    <col collapsed="false" customWidth="true" hidden="false" outlineLevel="0" max="21" min="21" style="0" width="7"/>
    <col collapsed="false" customWidth="true" hidden="false" outlineLevel="0" max="23" min="22" style="0" width="16"/>
    <col collapsed="false" customWidth="true" hidden="false" outlineLevel="0" max="24" min="24" style="0" width="10"/>
    <col collapsed="false" customWidth="true" hidden="false" outlineLevel="0" max="25" min="25" style="0" width="26"/>
    <col collapsed="false" customWidth="true" hidden="false" outlineLevel="0" max="26" min="26" style="0" width="11"/>
  </cols>
  <sheetData>
    <row r="1" customFormat="false" ht="17.35" hidden="false" customHeight="false" outlineLevel="0" collapsed="false">
      <c r="A1" s="8" t="s">
        <v>227</v>
      </c>
    </row>
    <row r="2" customFormat="false" ht="15" hidden="false" customHeight="false" outlineLevel="0" collapsed="false">
      <c r="A2" s="2" t="s">
        <v>228</v>
      </c>
    </row>
    <row r="3" customFormat="false" ht="15" hidden="false" customHeight="false" outlineLevel="0" collapsed="false">
      <c r="A3" s="41" t="s">
        <v>229</v>
      </c>
      <c r="G3" s="2" t="s">
        <v>230</v>
      </c>
    </row>
    <row r="4" customFormat="false" ht="42" hidden="false" customHeight="true" outlineLevel="0" collapsed="false">
      <c r="A4" s="9" t="s">
        <v>100</v>
      </c>
      <c r="B4" s="9" t="s">
        <v>231</v>
      </c>
      <c r="C4" s="9" t="s">
        <v>232</v>
      </c>
      <c r="D4" s="9" t="s">
        <v>233</v>
      </c>
      <c r="E4" s="9" t="s">
        <v>234</v>
      </c>
      <c r="F4" s="9" t="s">
        <v>235</v>
      </c>
      <c r="G4" s="9" t="n">
        <v>1</v>
      </c>
      <c r="H4" s="9" t="n">
        <v>2</v>
      </c>
      <c r="I4" s="9" t="n">
        <v>3</v>
      </c>
      <c r="J4" s="9" t="n">
        <v>4</v>
      </c>
      <c r="K4" s="9" t="n">
        <v>5</v>
      </c>
      <c r="L4" s="9" t="n">
        <v>6</v>
      </c>
      <c r="M4" s="9" t="n">
        <v>7</v>
      </c>
      <c r="N4" s="9" t="n">
        <v>8</v>
      </c>
      <c r="O4" s="9" t="n">
        <v>9</v>
      </c>
      <c r="P4" s="9" t="n">
        <v>10</v>
      </c>
    </row>
    <row r="5" customFormat="false" ht="15" hidden="false" customHeight="false" outlineLevel="0" collapsed="false">
      <c r="A5" s="36" t="str">
        <f aca="false">IF(ИНФА!$C$5="да",ИНФА!$B$5,"")</f>
        <v>Прорыв</v>
      </c>
      <c r="B5" s="38" t="n">
        <f aca="false">IF($A5="","",SUMIFS(ИНФРАСТРУКТУРА!$Y$5:$Y$204,ИНФРАСТРУКТУРА!$B$5:$B$204,$A5))</f>
        <v>0</v>
      </c>
      <c r="C5" s="38" t="n">
        <f aca="false">IF($A5="","",SUMIFS(НАУКА!$L$5:$L$44,НАУКА!$B$5:$B$44,$A5))</f>
        <v>0</v>
      </c>
      <c r="D5" s="38" t="n">
        <f aca="false">IF($A5="","",SUMIFS('БИРЖА ТРУДА'!$S$5:$S$124,'БИРЖА ТРУДА'!$O$5:$O$124,$A5,'БИРЖА ТРУДА'!$N$5:$N$124,ИНФА!$F$5,'БИРЖА ТРУДА'!$R$5:$R$124,"Доход"))</f>
        <v>0</v>
      </c>
      <c r="E5" s="38" t="n">
        <f aca="false">IF($A5="","",COUNTIFS('БИРЖА ТРУДА'!$A$5:$A$76,$A5,'БИРЖА ТРУДА'!$E$5:$E$76,ИНФА!$F$5-1)*ИНФА!$F$27+COUNTIFS('БИРЖА ТРУДА'!$A$5:$A$76,$A5,'БИРЖА ТРУДА'!$F$5:$F$76,ИНФА!$F$5-1)*ИНФА!$F$28)</f>
        <v>0</v>
      </c>
      <c r="F5" s="42" t="n">
        <f aca="false">IF($A5="","",IF(ИНФА!$F$5=1,0,B5+C5+D5+E5))</f>
        <v>0</v>
      </c>
      <c r="G5" s="43"/>
      <c r="H5" s="43"/>
      <c r="I5" s="43"/>
      <c r="J5" s="43"/>
      <c r="K5" s="43"/>
      <c r="L5" s="43"/>
      <c r="M5" s="43"/>
      <c r="N5" s="43"/>
      <c r="O5" s="43"/>
      <c r="P5" s="43"/>
    </row>
    <row r="6" customFormat="false" ht="15" hidden="false" customHeight="false" outlineLevel="0" collapsed="false">
      <c r="A6" s="36" t="str">
        <f aca="false">IF(ИНФА!$C$6="да",ИНФА!$B$6,"")</f>
        <v>Финфлоу</v>
      </c>
      <c r="B6" s="38" t="n">
        <f aca="false">IF($A6="","",SUMIFS(ИНФРАСТРУКТУРА!$Y$5:$Y$204,ИНФРАСТРУКТУРА!$B$5:$B$204,$A6))</f>
        <v>0</v>
      </c>
      <c r="C6" s="38" t="n">
        <f aca="false">IF($A6="","",SUMIFS(НАУКА!$L$5:$L$44,НАУКА!$B$5:$B$44,$A6))</f>
        <v>0</v>
      </c>
      <c r="D6" s="38" t="n">
        <f aca="false">IF($A6="","",SUMIFS('БИРЖА ТРУДА'!$S$5:$S$124,'БИРЖА ТРУДА'!$O$5:$O$124,$A6,'БИРЖА ТРУДА'!$N$5:$N$124,ИНФА!$F$5,'БИРЖА ТРУДА'!$R$5:$R$124,"Доход"))</f>
        <v>0</v>
      </c>
      <c r="E6" s="38" t="n">
        <f aca="false">IF($A6="","",COUNTIFS('БИРЖА ТРУДА'!$A$5:$A$76,$A6,'БИРЖА ТРУДА'!$E$5:$E$76,ИНФА!$F$5-1)*ИНФА!$F$27+COUNTIFS('БИРЖА ТРУДА'!$A$5:$A$76,$A6,'БИРЖА ТРУДА'!$F$5:$F$76,ИНФА!$F$5-1)*ИНФА!$F$28)</f>
        <v>0</v>
      </c>
      <c r="F6" s="42" t="n">
        <f aca="false">IF($A6="","",IF(ИНФА!$F$5=1,0,B6+C6+D6+E6))</f>
        <v>0</v>
      </c>
      <c r="G6" s="43"/>
      <c r="H6" s="43"/>
      <c r="I6" s="43"/>
      <c r="J6" s="43"/>
      <c r="K6" s="43"/>
      <c r="L6" s="43"/>
      <c r="M6" s="43"/>
      <c r="N6" s="43"/>
      <c r="O6" s="43"/>
      <c r="P6" s="43"/>
    </row>
    <row r="7" customFormat="false" ht="15" hidden="false" customHeight="false" outlineLevel="0" collapsed="false">
      <c r="A7" s="36" t="str">
        <f aca="false">IF(ИНФА!$C$7="да",ИНФА!$B$7,"")</f>
        <v>Синерс</v>
      </c>
      <c r="B7" s="38" t="n">
        <f aca="false">IF($A7="","",SUMIFS(ИНФРАСТРУКТУРА!$Y$5:$Y$204,ИНФРАСТРУКТУРА!$B$5:$B$204,$A7))</f>
        <v>0</v>
      </c>
      <c r="C7" s="38" t="n">
        <f aca="false">IF($A7="","",SUMIFS(НАУКА!$L$5:$L$44,НАУКА!$B$5:$B$44,$A7))</f>
        <v>0</v>
      </c>
      <c r="D7" s="38" t="n">
        <f aca="false">IF($A7="","",SUMIFS('БИРЖА ТРУДА'!$S$5:$S$124,'БИРЖА ТРУДА'!$O$5:$O$124,$A7,'БИРЖА ТРУДА'!$N$5:$N$124,ИНФА!$F$5,'БИРЖА ТРУДА'!$R$5:$R$124,"Доход"))</f>
        <v>0</v>
      </c>
      <c r="E7" s="38" t="n">
        <f aca="false">IF($A7="","",COUNTIFS('БИРЖА ТРУДА'!$A$5:$A$76,$A7,'БИРЖА ТРУДА'!$E$5:$E$76,ИНФА!$F$5-1)*ИНФА!$F$27+COUNTIFS('БИРЖА ТРУДА'!$A$5:$A$76,$A7,'БИРЖА ТРУДА'!$F$5:$F$76,ИНФА!$F$5-1)*ИНФА!$F$28)</f>
        <v>0</v>
      </c>
      <c r="F7" s="42" t="n">
        <f aca="false">IF($A7="","",IF(ИНФА!$F$5=1,0,B7+C7+D7+E7))</f>
        <v>0</v>
      </c>
      <c r="G7" s="43"/>
      <c r="H7" s="43"/>
      <c r="I7" s="43"/>
      <c r="J7" s="43"/>
      <c r="K7" s="43"/>
      <c r="L7" s="43"/>
      <c r="M7" s="43"/>
      <c r="N7" s="43"/>
      <c r="O7" s="43"/>
      <c r="P7" s="43"/>
    </row>
    <row r="8" customFormat="false" ht="15" hidden="false" customHeight="false" outlineLevel="0" collapsed="false">
      <c r="A8" s="36" t="str">
        <f aca="false">IF(ИНФА!$C$8="да",ИНФА!$B$8,"")</f>
        <v>Горизонт</v>
      </c>
      <c r="B8" s="38" t="n">
        <f aca="false">IF($A8="","",SUMIFS(ИНФРАСТРУКТУРА!$Y$5:$Y$204,ИНФРАСТРУКТУРА!$B$5:$B$204,$A8))</f>
        <v>0</v>
      </c>
      <c r="C8" s="38" t="n">
        <f aca="false">IF($A8="","",SUMIFS(НАУКА!$L$5:$L$44,НАУКА!$B$5:$B$44,$A8))</f>
        <v>0</v>
      </c>
      <c r="D8" s="38" t="n">
        <f aca="false">IF($A8="","",SUMIFS('БИРЖА ТРУДА'!$S$5:$S$124,'БИРЖА ТРУДА'!$O$5:$O$124,$A8,'БИРЖА ТРУДА'!$N$5:$N$124,ИНФА!$F$5,'БИРЖА ТРУДА'!$R$5:$R$124,"Доход"))</f>
        <v>0</v>
      </c>
      <c r="E8" s="38" t="n">
        <f aca="false">IF($A8="","",COUNTIFS('БИРЖА ТРУДА'!$A$5:$A$76,$A8,'БИРЖА ТРУДА'!$E$5:$E$76,ИНФА!$F$5-1)*ИНФА!$F$27+COUNTIFS('БИРЖА ТРУДА'!$A$5:$A$76,$A8,'БИРЖА ТРУДА'!$F$5:$F$76,ИНФА!$F$5-1)*ИНФА!$F$28)</f>
        <v>0</v>
      </c>
      <c r="F8" s="42" t="n">
        <f aca="false">IF($A8="","",IF(ИНФА!$F$5=1,0,B8+C8+D8+E8))</f>
        <v>0</v>
      </c>
      <c r="G8" s="43"/>
      <c r="H8" s="43"/>
      <c r="I8" s="43"/>
      <c r="J8" s="43"/>
      <c r="K8" s="43"/>
      <c r="L8" s="43"/>
      <c r="M8" s="43"/>
      <c r="N8" s="43"/>
      <c r="O8" s="43"/>
      <c r="P8" s="43"/>
    </row>
    <row r="9" customFormat="false" ht="15" hidden="false" customHeight="false" outlineLevel="0" collapsed="false">
      <c r="A9" s="36" t="str">
        <f aca="false">IF(ИНФА!$C$9="да",ИНФА!$B$9,"")</f>
        <v>Вектор</v>
      </c>
      <c r="B9" s="38" t="n">
        <f aca="false">IF($A9="","",SUMIFS(ИНФРАСТРУКТУРА!$Y$5:$Y$204,ИНФРАСТРУКТУРА!$B$5:$B$204,$A9))</f>
        <v>0</v>
      </c>
      <c r="C9" s="38" t="n">
        <f aca="false">IF($A9="","",SUMIFS(НАУКА!$L$5:$L$44,НАУКА!$B$5:$B$44,$A9))</f>
        <v>0</v>
      </c>
      <c r="D9" s="38" t="n">
        <f aca="false">IF($A9="","",SUMIFS('БИРЖА ТРУДА'!$S$5:$S$124,'БИРЖА ТРУДА'!$O$5:$O$124,$A9,'БИРЖА ТРУДА'!$N$5:$N$124,ИНФА!$F$5,'БИРЖА ТРУДА'!$R$5:$R$124,"Доход"))</f>
        <v>0</v>
      </c>
      <c r="E9" s="38" t="n">
        <f aca="false">IF($A9="","",COUNTIFS('БИРЖА ТРУДА'!$A$5:$A$76,$A9,'БИРЖА ТРУДА'!$E$5:$E$76,ИНФА!$F$5-1)*ИНФА!$F$27+COUNTIFS('БИРЖА ТРУДА'!$A$5:$A$76,$A9,'БИРЖА ТРУДА'!$F$5:$F$76,ИНФА!$F$5-1)*ИНФА!$F$28)</f>
        <v>0</v>
      </c>
      <c r="F9" s="42" t="n">
        <f aca="false">IF($A9="","",IF(ИНФА!$F$5=1,0,B9+C9+D9+E9))</f>
        <v>0</v>
      </c>
      <c r="G9" s="43"/>
      <c r="H9" s="43"/>
      <c r="I9" s="43"/>
      <c r="J9" s="43"/>
      <c r="K9" s="43"/>
      <c r="L9" s="43"/>
      <c r="M9" s="43"/>
      <c r="N9" s="43"/>
      <c r="O9" s="43"/>
      <c r="P9" s="43"/>
    </row>
    <row r="10" customFormat="false" ht="15" hidden="false" customHeight="false" outlineLevel="0" collapsed="false">
      <c r="A10" s="36" t="str">
        <f aca="false">IF(ИНФА!$C$10="да",ИНФА!$B$10,"")</f>
        <v>Импульс</v>
      </c>
      <c r="B10" s="38" t="n">
        <f aca="false">IF($A10="","",SUMIFS(ИНФРАСТРУКТУРА!$Y$5:$Y$204,ИНФРАСТРУКТУРА!$B$5:$B$204,$A10))</f>
        <v>0</v>
      </c>
      <c r="C10" s="38" t="n">
        <f aca="false">IF($A10="","",SUMIFS(НАУКА!$L$5:$L$44,НАУКА!$B$5:$B$44,$A10))</f>
        <v>0</v>
      </c>
      <c r="D10" s="38" t="n">
        <f aca="false">IF($A10="","",SUMIFS('БИРЖА ТРУДА'!$S$5:$S$124,'БИРЖА ТРУДА'!$O$5:$O$124,$A10,'БИРЖА ТРУДА'!$N$5:$N$124,ИНФА!$F$5,'БИРЖА ТРУДА'!$R$5:$R$124,"Доход"))</f>
        <v>0</v>
      </c>
      <c r="E10" s="38" t="n">
        <f aca="false">IF($A10="","",COUNTIFS('БИРЖА ТРУДА'!$A$5:$A$76,$A10,'БИРЖА ТРУДА'!$E$5:$E$76,ИНФА!$F$5-1)*ИНФА!$F$27+COUNTIFS('БИРЖА ТРУДА'!$A$5:$A$76,$A10,'БИРЖА ТРУДА'!$F$5:$F$76,ИНФА!$F$5-1)*ИНФА!$F$28)</f>
        <v>0</v>
      </c>
      <c r="F10" s="42" t="n">
        <f aca="false">IF($A10="","",IF(ИНФА!$F$5=1,0,B10+C10+D10+E10))</f>
        <v>0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customFormat="false" ht="15" hidden="false" customHeight="false" outlineLevel="0" collapsed="false">
      <c r="A11" s="36" t="str">
        <f aca="false">IF(ИНФА!$C$11="да",ИНФА!$B$11,"")</f>
        <v/>
      </c>
      <c r="B11" s="38" t="str">
        <f aca="false">IF($A11="","",SUMIFS(ИНФРАСТРУКТУРА!$Y$5:$Y$204,ИНФРАСТРУКТУРА!$B$5:$B$204,$A11))</f>
        <v/>
      </c>
      <c r="C11" s="38" t="str">
        <f aca="false">IF($A11="","",SUMIFS(НАУКА!$L$5:$L$44,НАУКА!$B$5:$B$44,$A11))</f>
        <v/>
      </c>
      <c r="D11" s="38" t="str">
        <f aca="false">IF($A11="","",SUMIFS('БИРЖА ТРУДА'!$S$5:$S$124,'БИРЖА ТРУДА'!$O$5:$O$124,$A11,'БИРЖА ТРУДА'!$N$5:$N$124,ИНФА!$F$5,'БИРЖА ТРУДА'!$R$5:$R$124,"Доход"))</f>
        <v/>
      </c>
      <c r="E11" s="38" t="str">
        <f aca="false">IF($A11="","",COUNTIFS('БИРЖА ТРУДА'!$A$5:$A$76,$A11,'БИРЖА ТРУДА'!$E$5:$E$76,ИНФА!$F$5-1)*ИНФА!$F$27+COUNTIFS('БИРЖА ТРУДА'!$A$5:$A$76,$A11,'БИРЖА ТРУДА'!$F$5:$F$76,ИНФА!$F$5-1)*ИНФА!$F$28)</f>
        <v/>
      </c>
      <c r="F11" s="42" t="str">
        <f aca="false">IF($A11="","",IF(ИНФА!$F$5=1,0,B11+C11+D11+E11))</f>
        <v/>
      </c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customFormat="false" ht="15" hidden="false" customHeight="false" outlineLevel="0" collapsed="false">
      <c r="A12" s="36" t="str">
        <f aca="false">IF(ИНФА!$C$12="да",ИНФА!$B$12,"")</f>
        <v/>
      </c>
      <c r="B12" s="38" t="str">
        <f aca="false">IF($A12="","",SUMIFS(ИНФРАСТРУКТУРА!$Y$5:$Y$204,ИНФРАСТРУКТУРА!$B$5:$B$204,$A12))</f>
        <v/>
      </c>
      <c r="C12" s="38" t="str">
        <f aca="false">IF($A12="","",SUMIFS(НАУКА!$L$5:$L$44,НАУКА!$B$5:$B$44,$A12))</f>
        <v/>
      </c>
      <c r="D12" s="38" t="str">
        <f aca="false">IF($A12="","",SUMIFS('БИРЖА ТРУДА'!$S$5:$S$124,'БИРЖА ТРУДА'!$O$5:$O$124,$A12,'БИРЖА ТРУДА'!$N$5:$N$124,ИНФА!$F$5,'БИРЖА ТРУДА'!$R$5:$R$124,"Доход"))</f>
        <v/>
      </c>
      <c r="E12" s="38" t="str">
        <f aca="false">IF($A12="","",COUNTIFS('БИРЖА ТРУДА'!$A$5:$A$76,$A12,'БИРЖА ТРУДА'!$E$5:$E$76,ИНФА!$F$5-1)*ИНФА!$F$27+COUNTIFS('БИРЖА ТРУДА'!$A$5:$A$76,$A12,'БИРЖА ТРУДА'!$F$5:$F$76,ИНФА!$F$5-1)*ИНФА!$F$28)</f>
        <v/>
      </c>
      <c r="F12" s="42" t="str">
        <f aca="false">IF($A12="","",IF(ИНФА!$F$5=1,0,B12+C12+D12+E12))</f>
        <v/>
      </c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customFormat="false" ht="15" hidden="false" customHeight="false" outlineLevel="0" collapsed="false">
      <c r="A13" s="36" t="str">
        <f aca="false">IF(ИНФА!$C$13="да",ИНФА!$B$13,"")</f>
        <v/>
      </c>
      <c r="B13" s="38" t="str">
        <f aca="false">IF($A13="","",SUMIFS(ИНФРАСТРУКТУРА!$Y$5:$Y$204,ИНФРАСТРУКТУРА!$B$5:$B$204,$A13))</f>
        <v/>
      </c>
      <c r="C13" s="38" t="str">
        <f aca="false">IF($A13="","",SUMIFS(НАУКА!$L$5:$L$44,НАУКА!$B$5:$B$44,$A13))</f>
        <v/>
      </c>
      <c r="D13" s="38" t="str">
        <f aca="false">IF($A13="","",SUMIFS('БИРЖА ТРУДА'!$S$5:$S$124,'БИРЖА ТРУДА'!$O$5:$O$124,$A13,'БИРЖА ТРУДА'!$N$5:$N$124,ИНФА!$F$5,'БИРЖА ТРУДА'!$R$5:$R$124,"Доход"))</f>
        <v/>
      </c>
      <c r="E13" s="38" t="str">
        <f aca="false">IF($A13="","",COUNTIFS('БИРЖА ТРУДА'!$A$5:$A$76,$A13,'БИРЖА ТРУДА'!$E$5:$E$76,ИНФА!$F$5-1)*ИНФА!$F$27+COUNTIFS('БИРЖА ТРУДА'!$A$5:$A$76,$A13,'БИРЖА ТРУДА'!$F$5:$F$76,ИНФА!$F$5-1)*ИНФА!$F$28)</f>
        <v/>
      </c>
      <c r="F13" s="42" t="str">
        <f aca="false">IF($A13="","",IF(ИНФА!$F$5=1,0,B13+C13+D13+E13))</f>
        <v/>
      </c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customFormat="false" ht="15" hidden="false" customHeight="false" outlineLevel="0" collapsed="false">
      <c r="A14" s="36" t="str">
        <f aca="false">IF(ИНФА!$C$14="да",ИНФА!$B$14,"")</f>
        <v/>
      </c>
      <c r="B14" s="38" t="str">
        <f aca="false">IF($A14="","",SUMIFS(ИНФРАСТРУКТУРА!$Y$5:$Y$204,ИНФРАСТРУКТУРА!$B$5:$B$204,$A14))</f>
        <v/>
      </c>
      <c r="C14" s="38" t="str">
        <f aca="false">IF($A14="","",SUMIFS(НАУКА!$L$5:$L$44,НАУКА!$B$5:$B$44,$A14))</f>
        <v/>
      </c>
      <c r="D14" s="38" t="str">
        <f aca="false">IF($A14="","",SUMIFS('БИРЖА ТРУДА'!$S$5:$S$124,'БИРЖА ТРУДА'!$O$5:$O$124,$A14,'БИРЖА ТРУДА'!$N$5:$N$124,ИНФА!$F$5,'БИРЖА ТРУДА'!$R$5:$R$124,"Доход"))</f>
        <v/>
      </c>
      <c r="E14" s="38" t="str">
        <f aca="false">IF($A14="","",COUNTIFS('БИРЖА ТРУДА'!$A$5:$A$76,$A14,'БИРЖА ТРУДА'!$E$5:$E$76,ИНФА!$F$5-1)*ИНФА!$F$27+COUNTIFS('БИРЖА ТРУДА'!$A$5:$A$76,$A14,'БИРЖА ТРУДА'!$F$5:$F$76,ИНФА!$F$5-1)*ИНФА!$F$28)</f>
        <v/>
      </c>
      <c r="F14" s="42" t="str">
        <f aca="false">IF($A14="","",IF(ИНФА!$F$5=1,0,B14+C14+D14+E14))</f>
        <v/>
      </c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customFormat="false" ht="15" hidden="false" customHeight="false" outlineLevel="0" collapsed="false">
      <c r="A15" s="36" t="str">
        <f aca="false">IF(ИНФА!$C$15="да",ИНФА!$B$15,"")</f>
        <v/>
      </c>
      <c r="B15" s="38" t="str">
        <f aca="false">IF($A15="","",SUMIFS(ИНФРАСТРУКТУРА!$Y$5:$Y$204,ИНФРАСТРУКТУРА!$B$5:$B$204,$A15))</f>
        <v/>
      </c>
      <c r="C15" s="38" t="str">
        <f aca="false">IF($A15="","",SUMIFS(НАУКА!$L$5:$L$44,НАУКА!$B$5:$B$44,$A15))</f>
        <v/>
      </c>
      <c r="D15" s="38" t="str">
        <f aca="false">IF($A15="","",SUMIFS('БИРЖА ТРУДА'!$S$5:$S$124,'БИРЖА ТРУДА'!$O$5:$O$124,$A15,'БИРЖА ТРУДА'!$N$5:$N$124,ИНФА!$F$5,'БИРЖА ТРУДА'!$R$5:$R$124,"Доход"))</f>
        <v/>
      </c>
      <c r="E15" s="38" t="str">
        <f aca="false">IF($A15="","",COUNTIFS('БИРЖА ТРУДА'!$A$5:$A$76,$A15,'БИРЖА ТРУДА'!$E$5:$E$76,ИНФА!$F$5-1)*ИНФА!$F$27+COUNTIFS('БИРЖА ТРУДА'!$A$5:$A$76,$A15,'БИРЖА ТРУДА'!$F$5:$F$76,ИНФА!$F$5-1)*ИНФА!$F$28)</f>
        <v/>
      </c>
      <c r="F15" s="42" t="str">
        <f aca="false">IF($A15="","",IF(ИНФА!$F$5=1,0,B15+C15+D15+E15))</f>
        <v/>
      </c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customFormat="false" ht="15" hidden="false" customHeight="false" outlineLevel="0" collapsed="false">
      <c r="A16" s="36" t="str">
        <f aca="false">IF(ИНФА!$C$16="да",ИНФА!$B$16,"")</f>
        <v/>
      </c>
      <c r="B16" s="38" t="str">
        <f aca="false">IF($A16="","",SUMIFS(ИНФРАСТРУКТУРА!$Y$5:$Y$204,ИНФРАСТРУКТУРА!$B$5:$B$204,$A16))</f>
        <v/>
      </c>
      <c r="C16" s="38" t="str">
        <f aca="false">IF($A16="","",SUMIFS(НАУКА!$L$5:$L$44,НАУКА!$B$5:$B$44,$A16))</f>
        <v/>
      </c>
      <c r="D16" s="38" t="str">
        <f aca="false">IF($A16="","",SUMIFS('БИРЖА ТРУДА'!$S$5:$S$124,'БИРЖА ТРУДА'!$O$5:$O$124,$A16,'БИРЖА ТРУДА'!$N$5:$N$124,ИНФА!$F$5,'БИРЖА ТРУДА'!$R$5:$R$124,"Доход"))</f>
        <v/>
      </c>
      <c r="E16" s="38" t="str">
        <f aca="false">IF($A16="","",COUNTIFS('БИРЖА ТРУДА'!$A$5:$A$76,$A16,'БИРЖА ТРУДА'!$E$5:$E$76,ИНФА!$F$5-1)*ИНФА!$F$27+COUNTIFS('БИРЖА ТРУДА'!$A$5:$A$76,$A16,'БИРЖА ТРУДА'!$F$5:$F$76,ИНФА!$F$5-1)*ИНФА!$F$28)</f>
        <v/>
      </c>
      <c r="F16" s="42" t="str">
        <f aca="false">IF($A16="","",IF(ИНФА!$F$5=1,0,B16+C16+D16+E16))</f>
        <v/>
      </c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customFormat="false" ht="15" hidden="false" customHeight="false" outlineLevel="0" collapsed="false">
      <c r="A17" s="2" t="s">
        <v>236</v>
      </c>
    </row>
    <row r="20" customFormat="false" ht="15" hidden="false" customHeight="false" outlineLevel="0" collapsed="false">
      <c r="A20" s="41" t="s">
        <v>237</v>
      </c>
      <c r="U20" s="41" t="s">
        <v>238</v>
      </c>
    </row>
    <row r="21" customFormat="false" ht="42" hidden="false" customHeight="true" outlineLevel="0" collapsed="false">
      <c r="A21" s="9" t="s">
        <v>100</v>
      </c>
      <c r="B21" s="9" t="s">
        <v>239</v>
      </c>
      <c r="C21" s="9" t="s">
        <v>240</v>
      </c>
      <c r="D21" s="9" t="s">
        <v>241</v>
      </c>
      <c r="E21" s="9" t="s">
        <v>242</v>
      </c>
      <c r="F21" s="9" t="s">
        <v>243</v>
      </c>
      <c r="G21" s="9" t="s">
        <v>244</v>
      </c>
      <c r="H21" s="9" t="s">
        <v>245</v>
      </c>
      <c r="I21" s="9" t="s">
        <v>246</v>
      </c>
      <c r="J21" s="9" t="s">
        <v>247</v>
      </c>
      <c r="K21" s="9" t="s">
        <v>248</v>
      </c>
      <c r="L21" s="9" t="s">
        <v>249</v>
      </c>
      <c r="M21" s="9" t="s">
        <v>250</v>
      </c>
      <c r="N21" s="9" t="s">
        <v>251</v>
      </c>
      <c r="O21" s="9" t="s">
        <v>252</v>
      </c>
      <c r="P21" s="9" t="s">
        <v>253</v>
      </c>
      <c r="Q21" s="9" t="s">
        <v>254</v>
      </c>
      <c r="R21" s="9" t="s">
        <v>255</v>
      </c>
      <c r="S21" s="9" t="s">
        <v>204</v>
      </c>
      <c r="U21" s="9" t="s">
        <v>256</v>
      </c>
      <c r="V21" s="9" t="s">
        <v>257</v>
      </c>
      <c r="W21" s="9" t="s">
        <v>258</v>
      </c>
      <c r="X21" s="9" t="s">
        <v>259</v>
      </c>
      <c r="Y21" s="9" t="s">
        <v>260</v>
      </c>
      <c r="Z21" s="9" t="s">
        <v>261</v>
      </c>
    </row>
    <row r="22" customFormat="false" ht="15" hidden="false" customHeight="false" outlineLevel="0" collapsed="false">
      <c r="A22" s="44"/>
      <c r="B22" s="43"/>
      <c r="C22" s="44"/>
      <c r="D22" s="44"/>
      <c r="E22" s="45"/>
      <c r="F22" s="46" t="str">
        <f aca="false">IF($B22="","",IF($E22="",ИНФА!$F$9,$E22))</f>
        <v/>
      </c>
      <c r="G22" s="37" t="str">
        <f aca="false">IF($B22="","",$C22+$D22)</f>
        <v/>
      </c>
      <c r="H22" s="38" t="str">
        <f aca="false">IF($B22="","",ROUND($B22*(1+$F22*$D22),0))</f>
        <v/>
      </c>
      <c r="I22" s="43"/>
      <c r="J22" s="44"/>
      <c r="K22" s="44"/>
      <c r="L22" s="47" t="str">
        <f aca="false">IF($B22="","",IF($J22="да",IF(AND($K22&lt;&gt;"",$K22&gt;$G22),"погашен с просрочкой",""),IF(ИНФА!$F$5&gt;$G22,"ПРОСРОЧКА","")))</f>
        <v/>
      </c>
      <c r="M22" s="38" t="str">
        <f aca="false">IF($B22="","",IF($L22="",0,ROUND($H22*ИНФА!$F$11,0)))</f>
        <v/>
      </c>
      <c r="N22" s="38" t="str">
        <f aca="false">IF($B22="","",IF($J22="да",0,$H22-N($I22)+$M22))</f>
        <v/>
      </c>
      <c r="O22" s="38" t="str">
        <f aca="false">IF($B22="","",IF($J22="да",$H22-N($I22)+$M22,0))</f>
        <v/>
      </c>
      <c r="P22" s="38" t="str">
        <f aca="false">IF($A22="","",SUMIFS($B$22:$B$61,$A$22:$A$61,$A22,$J$22:$J$61,"&lt;&gt;да"))</f>
        <v/>
      </c>
      <c r="Q22" s="47" t="str">
        <f aca="false">IF($A22="","",IF($P22&gt;ИНФА!$F$10,"превышен лимит! ","")&amp;IF(AND($R22&lt;&gt;"",$R22=$A22),"поручитель — другая компания! ",""))</f>
        <v/>
      </c>
      <c r="R22" s="44"/>
      <c r="S22" s="38" t="str">
        <f aca="false">IF(OR($B22="",$R22=""),"",IF(AND($J22="да",$L22="",$R22&lt;&gt;$A22),ИНФА!$F$32,0))</f>
        <v/>
      </c>
      <c r="U22" s="44"/>
      <c r="V22" s="44"/>
      <c r="W22" s="44"/>
      <c r="X22" s="43"/>
      <c r="Y22" s="44"/>
      <c r="Z22" s="44"/>
    </row>
    <row r="23" customFormat="false" ht="15" hidden="false" customHeight="false" outlineLevel="0" collapsed="false">
      <c r="A23" s="44"/>
      <c r="B23" s="43"/>
      <c r="C23" s="44"/>
      <c r="D23" s="44"/>
      <c r="E23" s="45"/>
      <c r="F23" s="46" t="str">
        <f aca="false">IF($B23="","",IF($E23="",ИНФА!$F$9,$E23))</f>
        <v/>
      </c>
      <c r="G23" s="37" t="str">
        <f aca="false">IF($B23="","",$C23+$D23)</f>
        <v/>
      </c>
      <c r="H23" s="38" t="str">
        <f aca="false">IF($B23="","",ROUND($B23*(1+$F23*$D23),0))</f>
        <v/>
      </c>
      <c r="I23" s="43"/>
      <c r="J23" s="44"/>
      <c r="K23" s="44"/>
      <c r="L23" s="47" t="str">
        <f aca="false">IF($B23="","",IF($J23="да",IF(AND($K23&lt;&gt;"",$K23&gt;$G23),"погашен с просрочкой",""),IF(ИНФА!$F$5&gt;$G23,"ПРОСРОЧКА","")))</f>
        <v/>
      </c>
      <c r="M23" s="38" t="str">
        <f aca="false">IF($B23="","",IF($L23="",0,ROUND($H23*ИНФА!$F$11,0)))</f>
        <v/>
      </c>
      <c r="N23" s="38" t="str">
        <f aca="false">IF($B23="","",IF($J23="да",0,$H23-N($I23)+$M23))</f>
        <v/>
      </c>
      <c r="O23" s="38" t="str">
        <f aca="false">IF($B23="","",IF($J23="да",$H23-N($I23)+$M23,0))</f>
        <v/>
      </c>
      <c r="P23" s="38" t="str">
        <f aca="false">IF($A23="","",SUMIFS($B$22:$B$61,$A$22:$A$61,$A23,$J$22:$J$61,"&lt;&gt;да"))</f>
        <v/>
      </c>
      <c r="Q23" s="47" t="str">
        <f aca="false">IF($A23="","",IF($P23&gt;ИНФА!$F$10,"превышен лимит! ","")&amp;IF(AND($R23&lt;&gt;"",$R23=$A23),"поручитель — другая компания! ",""))</f>
        <v/>
      </c>
      <c r="R23" s="44"/>
      <c r="S23" s="38" t="str">
        <f aca="false">IF(OR($B23="",$R23=""),"",IF(AND($J23="да",$L23="",$R23&lt;&gt;$A23),ИНФА!$F$32,0))</f>
        <v/>
      </c>
      <c r="U23" s="44"/>
      <c r="V23" s="44"/>
      <c r="W23" s="44"/>
      <c r="X23" s="43"/>
      <c r="Y23" s="44"/>
      <c r="Z23" s="44"/>
    </row>
    <row r="24" customFormat="false" ht="15" hidden="false" customHeight="false" outlineLevel="0" collapsed="false">
      <c r="A24" s="44"/>
      <c r="B24" s="43"/>
      <c r="C24" s="44"/>
      <c r="D24" s="44"/>
      <c r="E24" s="45"/>
      <c r="F24" s="46" t="str">
        <f aca="false">IF($B24="","",IF($E24="",ИНФА!$F$9,$E24))</f>
        <v/>
      </c>
      <c r="G24" s="37" t="str">
        <f aca="false">IF($B24="","",$C24+$D24)</f>
        <v/>
      </c>
      <c r="H24" s="38" t="str">
        <f aca="false">IF($B24="","",ROUND($B24*(1+$F24*$D24),0))</f>
        <v/>
      </c>
      <c r="I24" s="43"/>
      <c r="J24" s="44"/>
      <c r="K24" s="44"/>
      <c r="L24" s="47" t="str">
        <f aca="false">IF($B24="","",IF($J24="да",IF(AND($K24&lt;&gt;"",$K24&gt;$G24),"погашен с просрочкой",""),IF(ИНФА!$F$5&gt;$G24,"ПРОСРОЧКА","")))</f>
        <v/>
      </c>
      <c r="M24" s="38" t="str">
        <f aca="false">IF($B24="","",IF($L24="",0,ROUND($H24*ИНФА!$F$11,0)))</f>
        <v/>
      </c>
      <c r="N24" s="38" t="str">
        <f aca="false">IF($B24="","",IF($J24="да",0,$H24-N($I24)+$M24))</f>
        <v/>
      </c>
      <c r="O24" s="38" t="str">
        <f aca="false">IF($B24="","",IF($J24="да",$H24-N($I24)+$M24,0))</f>
        <v/>
      </c>
      <c r="P24" s="38" t="str">
        <f aca="false">IF($A24="","",SUMIFS($B$22:$B$61,$A$22:$A$61,$A24,$J$22:$J$61,"&lt;&gt;да"))</f>
        <v/>
      </c>
      <c r="Q24" s="47" t="str">
        <f aca="false">IF($A24="","",IF($P24&gt;ИНФА!$F$10,"превышен лимит! ","")&amp;IF(AND($R24&lt;&gt;"",$R24=$A24),"поручитель — другая компания! ",""))</f>
        <v/>
      </c>
      <c r="R24" s="44"/>
      <c r="S24" s="38" t="str">
        <f aca="false">IF(OR($B24="",$R24=""),"",IF(AND($J24="да",$L24="",$R24&lt;&gt;$A24),ИНФА!$F$32,0))</f>
        <v/>
      </c>
      <c r="U24" s="44"/>
      <c r="V24" s="44"/>
      <c r="W24" s="44"/>
      <c r="X24" s="43"/>
      <c r="Y24" s="44"/>
      <c r="Z24" s="44"/>
    </row>
    <row r="25" customFormat="false" ht="15" hidden="false" customHeight="false" outlineLevel="0" collapsed="false">
      <c r="A25" s="44"/>
      <c r="B25" s="43"/>
      <c r="C25" s="44"/>
      <c r="D25" s="44"/>
      <c r="E25" s="45"/>
      <c r="F25" s="46" t="str">
        <f aca="false">IF($B25="","",IF($E25="",ИНФА!$F$9,$E25))</f>
        <v/>
      </c>
      <c r="G25" s="37" t="str">
        <f aca="false">IF($B25="","",$C25+$D25)</f>
        <v/>
      </c>
      <c r="H25" s="38" t="str">
        <f aca="false">IF($B25="","",ROUND($B25*(1+$F25*$D25),0))</f>
        <v/>
      </c>
      <c r="I25" s="43"/>
      <c r="J25" s="44"/>
      <c r="K25" s="44"/>
      <c r="L25" s="47" t="str">
        <f aca="false">IF($B25="","",IF($J25="да",IF(AND($K25&lt;&gt;"",$K25&gt;$G25),"погашен с просрочкой",""),IF(ИНФА!$F$5&gt;$G25,"ПРОСРОЧКА","")))</f>
        <v/>
      </c>
      <c r="M25" s="38" t="str">
        <f aca="false">IF($B25="","",IF($L25="",0,ROUND($H25*ИНФА!$F$11,0)))</f>
        <v/>
      </c>
      <c r="N25" s="38" t="str">
        <f aca="false">IF($B25="","",IF($J25="да",0,$H25-N($I25)+$M25))</f>
        <v/>
      </c>
      <c r="O25" s="38" t="str">
        <f aca="false">IF($B25="","",IF($J25="да",$H25-N($I25)+$M25,0))</f>
        <v/>
      </c>
      <c r="P25" s="38" t="str">
        <f aca="false">IF($A25="","",SUMIFS($B$22:$B$61,$A$22:$A$61,$A25,$J$22:$J$61,"&lt;&gt;да"))</f>
        <v/>
      </c>
      <c r="Q25" s="47" t="str">
        <f aca="false">IF($A25="","",IF($P25&gt;ИНФА!$F$10,"превышен лимит! ","")&amp;IF(AND($R25&lt;&gt;"",$R25=$A25),"поручитель — другая компания! ",""))</f>
        <v/>
      </c>
      <c r="R25" s="44"/>
      <c r="S25" s="38" t="str">
        <f aca="false">IF(OR($B25="",$R25=""),"",IF(AND($J25="да",$L25="",$R25&lt;&gt;$A25),ИНФА!$F$32,0))</f>
        <v/>
      </c>
      <c r="U25" s="44"/>
      <c r="V25" s="44"/>
      <c r="W25" s="44"/>
      <c r="X25" s="43"/>
      <c r="Y25" s="44"/>
      <c r="Z25" s="44"/>
    </row>
    <row r="26" customFormat="false" ht="15" hidden="false" customHeight="false" outlineLevel="0" collapsed="false">
      <c r="A26" s="44"/>
      <c r="B26" s="43"/>
      <c r="C26" s="44"/>
      <c r="D26" s="44"/>
      <c r="E26" s="45"/>
      <c r="F26" s="46" t="str">
        <f aca="false">IF($B26="","",IF($E26="",ИНФА!$F$9,$E26))</f>
        <v/>
      </c>
      <c r="G26" s="37" t="str">
        <f aca="false">IF($B26="","",$C26+$D26)</f>
        <v/>
      </c>
      <c r="H26" s="38" t="str">
        <f aca="false">IF($B26="","",ROUND($B26*(1+$F26*$D26),0))</f>
        <v/>
      </c>
      <c r="I26" s="43"/>
      <c r="J26" s="44"/>
      <c r="K26" s="44"/>
      <c r="L26" s="47" t="str">
        <f aca="false">IF($B26="","",IF($J26="да",IF(AND($K26&lt;&gt;"",$K26&gt;$G26),"погашен с просрочкой",""),IF(ИНФА!$F$5&gt;$G26,"ПРОСРОЧКА","")))</f>
        <v/>
      </c>
      <c r="M26" s="38" t="str">
        <f aca="false">IF($B26="","",IF($L26="",0,ROUND($H26*ИНФА!$F$11,0)))</f>
        <v/>
      </c>
      <c r="N26" s="38" t="str">
        <f aca="false">IF($B26="","",IF($J26="да",0,$H26-N($I26)+$M26))</f>
        <v/>
      </c>
      <c r="O26" s="38" t="str">
        <f aca="false">IF($B26="","",IF($J26="да",$H26-N($I26)+$M26,0))</f>
        <v/>
      </c>
      <c r="P26" s="38" t="str">
        <f aca="false">IF($A26="","",SUMIFS($B$22:$B$61,$A$22:$A$61,$A26,$J$22:$J$61,"&lt;&gt;да"))</f>
        <v/>
      </c>
      <c r="Q26" s="47" t="str">
        <f aca="false">IF($A26="","",IF($P26&gt;ИНФА!$F$10,"превышен лимит! ","")&amp;IF(AND($R26&lt;&gt;"",$R26=$A26),"поручитель — другая компания! ",""))</f>
        <v/>
      </c>
      <c r="R26" s="44"/>
      <c r="S26" s="38" t="str">
        <f aca="false">IF(OR($B26="",$R26=""),"",IF(AND($J26="да",$L26="",$R26&lt;&gt;$A26),ИНФА!$F$32,0))</f>
        <v/>
      </c>
      <c r="U26" s="44"/>
      <c r="V26" s="44"/>
      <c r="W26" s="44"/>
      <c r="X26" s="43"/>
      <c r="Y26" s="44"/>
      <c r="Z26" s="44"/>
    </row>
    <row r="27" customFormat="false" ht="15" hidden="false" customHeight="false" outlineLevel="0" collapsed="false">
      <c r="A27" s="44"/>
      <c r="B27" s="43"/>
      <c r="C27" s="44"/>
      <c r="D27" s="44"/>
      <c r="E27" s="45"/>
      <c r="F27" s="46" t="str">
        <f aca="false">IF($B27="","",IF($E27="",ИНФА!$F$9,$E27))</f>
        <v/>
      </c>
      <c r="G27" s="37" t="str">
        <f aca="false">IF($B27="","",$C27+$D27)</f>
        <v/>
      </c>
      <c r="H27" s="38" t="str">
        <f aca="false">IF($B27="","",ROUND($B27*(1+$F27*$D27),0))</f>
        <v/>
      </c>
      <c r="I27" s="43"/>
      <c r="J27" s="44"/>
      <c r="K27" s="44"/>
      <c r="L27" s="47" t="str">
        <f aca="false">IF($B27="","",IF($J27="да",IF(AND($K27&lt;&gt;"",$K27&gt;$G27),"погашен с просрочкой",""),IF(ИНФА!$F$5&gt;$G27,"ПРОСРОЧКА","")))</f>
        <v/>
      </c>
      <c r="M27" s="38" t="str">
        <f aca="false">IF($B27="","",IF($L27="",0,ROUND($H27*ИНФА!$F$11,0)))</f>
        <v/>
      </c>
      <c r="N27" s="38" t="str">
        <f aca="false">IF($B27="","",IF($J27="да",0,$H27-N($I27)+$M27))</f>
        <v/>
      </c>
      <c r="O27" s="38" t="str">
        <f aca="false">IF($B27="","",IF($J27="да",$H27-N($I27)+$M27,0))</f>
        <v/>
      </c>
      <c r="P27" s="38" t="str">
        <f aca="false">IF($A27="","",SUMIFS($B$22:$B$61,$A$22:$A$61,$A27,$J$22:$J$61,"&lt;&gt;да"))</f>
        <v/>
      </c>
      <c r="Q27" s="47" t="str">
        <f aca="false">IF($A27="","",IF($P27&gt;ИНФА!$F$10,"превышен лимит! ","")&amp;IF(AND($R27&lt;&gt;"",$R27=$A27),"поручитель — другая компания! ",""))</f>
        <v/>
      </c>
      <c r="R27" s="44"/>
      <c r="S27" s="38" t="str">
        <f aca="false">IF(OR($B27="",$R27=""),"",IF(AND($J27="да",$L27="",$R27&lt;&gt;$A27),ИНФА!$F$32,0))</f>
        <v/>
      </c>
      <c r="U27" s="44"/>
      <c r="V27" s="44"/>
      <c r="W27" s="44"/>
      <c r="X27" s="43"/>
      <c r="Y27" s="44"/>
      <c r="Z27" s="44"/>
    </row>
    <row r="28" customFormat="false" ht="15" hidden="false" customHeight="false" outlineLevel="0" collapsed="false">
      <c r="A28" s="44"/>
      <c r="B28" s="43"/>
      <c r="C28" s="44"/>
      <c r="D28" s="44"/>
      <c r="E28" s="45"/>
      <c r="F28" s="46" t="str">
        <f aca="false">IF($B28="","",IF($E28="",ИНФА!$F$9,$E28))</f>
        <v/>
      </c>
      <c r="G28" s="37" t="str">
        <f aca="false">IF($B28="","",$C28+$D28)</f>
        <v/>
      </c>
      <c r="H28" s="38" t="str">
        <f aca="false">IF($B28="","",ROUND($B28*(1+$F28*$D28),0))</f>
        <v/>
      </c>
      <c r="I28" s="43"/>
      <c r="J28" s="44"/>
      <c r="K28" s="44"/>
      <c r="L28" s="47" t="str">
        <f aca="false">IF($B28="","",IF($J28="да",IF(AND($K28&lt;&gt;"",$K28&gt;$G28),"погашен с просрочкой",""),IF(ИНФА!$F$5&gt;$G28,"ПРОСРОЧКА","")))</f>
        <v/>
      </c>
      <c r="M28" s="38" t="str">
        <f aca="false">IF($B28="","",IF($L28="",0,ROUND($H28*ИНФА!$F$11,0)))</f>
        <v/>
      </c>
      <c r="N28" s="38" t="str">
        <f aca="false">IF($B28="","",IF($J28="да",0,$H28-N($I28)+$M28))</f>
        <v/>
      </c>
      <c r="O28" s="38" t="str">
        <f aca="false">IF($B28="","",IF($J28="да",$H28-N($I28)+$M28,0))</f>
        <v/>
      </c>
      <c r="P28" s="38" t="str">
        <f aca="false">IF($A28="","",SUMIFS($B$22:$B$61,$A$22:$A$61,$A28,$J$22:$J$61,"&lt;&gt;да"))</f>
        <v/>
      </c>
      <c r="Q28" s="47" t="str">
        <f aca="false">IF($A28="","",IF($P28&gt;ИНФА!$F$10,"превышен лимит! ","")&amp;IF(AND($R28&lt;&gt;"",$R28=$A28),"поручитель — другая компания! ",""))</f>
        <v/>
      </c>
      <c r="R28" s="44"/>
      <c r="S28" s="38" t="str">
        <f aca="false">IF(OR($B28="",$R28=""),"",IF(AND($J28="да",$L28="",$R28&lt;&gt;$A28),ИНФА!$F$32,0))</f>
        <v/>
      </c>
      <c r="U28" s="44"/>
      <c r="V28" s="44"/>
      <c r="W28" s="44"/>
      <c r="X28" s="43"/>
      <c r="Y28" s="44"/>
      <c r="Z28" s="44"/>
    </row>
    <row r="29" customFormat="false" ht="15" hidden="false" customHeight="false" outlineLevel="0" collapsed="false">
      <c r="A29" s="44"/>
      <c r="B29" s="43"/>
      <c r="C29" s="44"/>
      <c r="D29" s="44"/>
      <c r="E29" s="45"/>
      <c r="F29" s="46" t="str">
        <f aca="false">IF($B29="","",IF($E29="",ИНФА!$F$9,$E29))</f>
        <v/>
      </c>
      <c r="G29" s="37" t="str">
        <f aca="false">IF($B29="","",$C29+$D29)</f>
        <v/>
      </c>
      <c r="H29" s="38" t="str">
        <f aca="false">IF($B29="","",ROUND($B29*(1+$F29*$D29),0))</f>
        <v/>
      </c>
      <c r="I29" s="43"/>
      <c r="J29" s="44"/>
      <c r="K29" s="44"/>
      <c r="L29" s="47" t="str">
        <f aca="false">IF($B29="","",IF($J29="да",IF(AND($K29&lt;&gt;"",$K29&gt;$G29),"погашен с просрочкой",""),IF(ИНФА!$F$5&gt;$G29,"ПРОСРОЧКА","")))</f>
        <v/>
      </c>
      <c r="M29" s="38" t="str">
        <f aca="false">IF($B29="","",IF($L29="",0,ROUND($H29*ИНФА!$F$11,0)))</f>
        <v/>
      </c>
      <c r="N29" s="38" t="str">
        <f aca="false">IF($B29="","",IF($J29="да",0,$H29-N($I29)+$M29))</f>
        <v/>
      </c>
      <c r="O29" s="38" t="str">
        <f aca="false">IF($B29="","",IF($J29="да",$H29-N($I29)+$M29,0))</f>
        <v/>
      </c>
      <c r="P29" s="38" t="str">
        <f aca="false">IF($A29="","",SUMIFS($B$22:$B$61,$A$22:$A$61,$A29,$J$22:$J$61,"&lt;&gt;да"))</f>
        <v/>
      </c>
      <c r="Q29" s="47" t="str">
        <f aca="false">IF($A29="","",IF($P29&gt;ИНФА!$F$10,"превышен лимит! ","")&amp;IF(AND($R29&lt;&gt;"",$R29=$A29),"поручитель — другая компания! ",""))</f>
        <v/>
      </c>
      <c r="R29" s="44"/>
      <c r="S29" s="38" t="str">
        <f aca="false">IF(OR($B29="",$R29=""),"",IF(AND($J29="да",$L29="",$R29&lt;&gt;$A29),ИНФА!$F$32,0))</f>
        <v/>
      </c>
      <c r="U29" s="44"/>
      <c r="V29" s="44"/>
      <c r="W29" s="44"/>
      <c r="X29" s="43"/>
      <c r="Y29" s="44"/>
      <c r="Z29" s="44"/>
    </row>
    <row r="30" customFormat="false" ht="15" hidden="false" customHeight="false" outlineLevel="0" collapsed="false">
      <c r="A30" s="44"/>
      <c r="B30" s="43"/>
      <c r="C30" s="44"/>
      <c r="D30" s="44"/>
      <c r="E30" s="45"/>
      <c r="F30" s="46" t="str">
        <f aca="false">IF($B30="","",IF($E30="",ИНФА!$F$9,$E30))</f>
        <v/>
      </c>
      <c r="G30" s="37" t="str">
        <f aca="false">IF($B30="","",$C30+$D30)</f>
        <v/>
      </c>
      <c r="H30" s="38" t="str">
        <f aca="false">IF($B30="","",ROUND($B30*(1+$F30*$D30),0))</f>
        <v/>
      </c>
      <c r="I30" s="43"/>
      <c r="J30" s="44"/>
      <c r="K30" s="44"/>
      <c r="L30" s="47" t="str">
        <f aca="false">IF($B30="","",IF($J30="да",IF(AND($K30&lt;&gt;"",$K30&gt;$G30),"погашен с просрочкой",""),IF(ИНФА!$F$5&gt;$G30,"ПРОСРОЧКА","")))</f>
        <v/>
      </c>
      <c r="M30" s="38" t="str">
        <f aca="false">IF($B30="","",IF($L30="",0,ROUND($H30*ИНФА!$F$11,0)))</f>
        <v/>
      </c>
      <c r="N30" s="38" t="str">
        <f aca="false">IF($B30="","",IF($J30="да",0,$H30-N($I30)+$M30))</f>
        <v/>
      </c>
      <c r="O30" s="38" t="str">
        <f aca="false">IF($B30="","",IF($J30="да",$H30-N($I30)+$M30,0))</f>
        <v/>
      </c>
      <c r="P30" s="38" t="str">
        <f aca="false">IF($A30="","",SUMIFS($B$22:$B$61,$A$22:$A$61,$A30,$J$22:$J$61,"&lt;&gt;да"))</f>
        <v/>
      </c>
      <c r="Q30" s="47" t="str">
        <f aca="false">IF($A30="","",IF($P30&gt;ИНФА!$F$10,"превышен лимит! ","")&amp;IF(AND($R30&lt;&gt;"",$R30=$A30),"поручитель — другая компания! ",""))</f>
        <v/>
      </c>
      <c r="R30" s="44"/>
      <c r="S30" s="38" t="str">
        <f aca="false">IF(OR($B30="",$R30=""),"",IF(AND($J30="да",$L30="",$R30&lt;&gt;$A30),ИНФА!$F$32,0))</f>
        <v/>
      </c>
      <c r="U30" s="44"/>
      <c r="V30" s="44"/>
      <c r="W30" s="44"/>
      <c r="X30" s="43"/>
      <c r="Y30" s="44"/>
      <c r="Z30" s="44"/>
    </row>
    <row r="31" customFormat="false" ht="15" hidden="false" customHeight="false" outlineLevel="0" collapsed="false">
      <c r="A31" s="44"/>
      <c r="B31" s="43"/>
      <c r="C31" s="44"/>
      <c r="D31" s="44"/>
      <c r="E31" s="45"/>
      <c r="F31" s="46" t="str">
        <f aca="false">IF($B31="","",IF($E31="",ИНФА!$F$9,$E31))</f>
        <v/>
      </c>
      <c r="G31" s="37" t="str">
        <f aca="false">IF($B31="","",$C31+$D31)</f>
        <v/>
      </c>
      <c r="H31" s="38" t="str">
        <f aca="false">IF($B31="","",ROUND($B31*(1+$F31*$D31),0))</f>
        <v/>
      </c>
      <c r="I31" s="43"/>
      <c r="J31" s="44"/>
      <c r="K31" s="44"/>
      <c r="L31" s="47" t="str">
        <f aca="false">IF($B31="","",IF($J31="да",IF(AND($K31&lt;&gt;"",$K31&gt;$G31),"погашен с просрочкой",""),IF(ИНФА!$F$5&gt;$G31,"ПРОСРОЧКА","")))</f>
        <v/>
      </c>
      <c r="M31" s="38" t="str">
        <f aca="false">IF($B31="","",IF($L31="",0,ROUND($H31*ИНФА!$F$11,0)))</f>
        <v/>
      </c>
      <c r="N31" s="38" t="str">
        <f aca="false">IF($B31="","",IF($J31="да",0,$H31-N($I31)+$M31))</f>
        <v/>
      </c>
      <c r="O31" s="38" t="str">
        <f aca="false">IF($B31="","",IF($J31="да",$H31-N($I31)+$M31,0))</f>
        <v/>
      </c>
      <c r="P31" s="38" t="str">
        <f aca="false">IF($A31="","",SUMIFS($B$22:$B$61,$A$22:$A$61,$A31,$J$22:$J$61,"&lt;&gt;да"))</f>
        <v/>
      </c>
      <c r="Q31" s="47" t="str">
        <f aca="false">IF($A31="","",IF($P31&gt;ИНФА!$F$10,"превышен лимит! ","")&amp;IF(AND($R31&lt;&gt;"",$R31=$A31),"поручитель — другая компания! ",""))</f>
        <v/>
      </c>
      <c r="R31" s="44"/>
      <c r="S31" s="38" t="str">
        <f aca="false">IF(OR($B31="",$R31=""),"",IF(AND($J31="да",$L31="",$R31&lt;&gt;$A31),ИНФА!$F$32,0))</f>
        <v/>
      </c>
      <c r="U31" s="44"/>
      <c r="V31" s="44"/>
      <c r="W31" s="44"/>
      <c r="X31" s="43"/>
      <c r="Y31" s="44"/>
      <c r="Z31" s="44"/>
    </row>
    <row r="32" customFormat="false" ht="15" hidden="false" customHeight="false" outlineLevel="0" collapsed="false">
      <c r="A32" s="44"/>
      <c r="B32" s="43"/>
      <c r="C32" s="44"/>
      <c r="D32" s="44"/>
      <c r="E32" s="45"/>
      <c r="F32" s="46" t="str">
        <f aca="false">IF($B32="","",IF($E32="",ИНФА!$F$9,$E32))</f>
        <v/>
      </c>
      <c r="G32" s="37" t="str">
        <f aca="false">IF($B32="","",$C32+$D32)</f>
        <v/>
      </c>
      <c r="H32" s="38" t="str">
        <f aca="false">IF($B32="","",ROUND($B32*(1+$F32*$D32),0))</f>
        <v/>
      </c>
      <c r="I32" s="43"/>
      <c r="J32" s="44"/>
      <c r="K32" s="44"/>
      <c r="L32" s="47" t="str">
        <f aca="false">IF($B32="","",IF($J32="да",IF(AND($K32&lt;&gt;"",$K32&gt;$G32),"погашен с просрочкой",""),IF(ИНФА!$F$5&gt;$G32,"ПРОСРОЧКА","")))</f>
        <v/>
      </c>
      <c r="M32" s="38" t="str">
        <f aca="false">IF($B32="","",IF($L32="",0,ROUND($H32*ИНФА!$F$11,0)))</f>
        <v/>
      </c>
      <c r="N32" s="38" t="str">
        <f aca="false">IF($B32="","",IF($J32="да",0,$H32-N($I32)+$M32))</f>
        <v/>
      </c>
      <c r="O32" s="38" t="str">
        <f aca="false">IF($B32="","",IF($J32="да",$H32-N($I32)+$M32,0))</f>
        <v/>
      </c>
      <c r="P32" s="38" t="str">
        <f aca="false">IF($A32="","",SUMIFS($B$22:$B$61,$A$22:$A$61,$A32,$J$22:$J$61,"&lt;&gt;да"))</f>
        <v/>
      </c>
      <c r="Q32" s="47" t="str">
        <f aca="false">IF($A32="","",IF($P32&gt;ИНФА!$F$10,"превышен лимит! ","")&amp;IF(AND($R32&lt;&gt;"",$R32=$A32),"поручитель — другая компания! ",""))</f>
        <v/>
      </c>
      <c r="R32" s="44"/>
      <c r="S32" s="38" t="str">
        <f aca="false">IF(OR($B32="",$R32=""),"",IF(AND($J32="да",$L32="",$R32&lt;&gt;$A32),ИНФА!$F$32,0))</f>
        <v/>
      </c>
      <c r="U32" s="44"/>
      <c r="V32" s="44"/>
      <c r="W32" s="44"/>
      <c r="X32" s="43"/>
      <c r="Y32" s="44"/>
      <c r="Z32" s="44"/>
    </row>
    <row r="33" customFormat="false" ht="15" hidden="false" customHeight="false" outlineLevel="0" collapsed="false">
      <c r="A33" s="44"/>
      <c r="B33" s="43"/>
      <c r="C33" s="44"/>
      <c r="D33" s="44"/>
      <c r="E33" s="45"/>
      <c r="F33" s="46" t="str">
        <f aca="false">IF($B33="","",IF($E33="",ИНФА!$F$9,$E33))</f>
        <v/>
      </c>
      <c r="G33" s="37" t="str">
        <f aca="false">IF($B33="","",$C33+$D33)</f>
        <v/>
      </c>
      <c r="H33" s="38" t="str">
        <f aca="false">IF($B33="","",ROUND($B33*(1+$F33*$D33),0))</f>
        <v/>
      </c>
      <c r="I33" s="43"/>
      <c r="J33" s="44"/>
      <c r="K33" s="44"/>
      <c r="L33" s="47" t="str">
        <f aca="false">IF($B33="","",IF($J33="да",IF(AND($K33&lt;&gt;"",$K33&gt;$G33),"погашен с просрочкой",""),IF(ИНФА!$F$5&gt;$G33,"ПРОСРОЧКА","")))</f>
        <v/>
      </c>
      <c r="M33" s="38" t="str">
        <f aca="false">IF($B33="","",IF($L33="",0,ROUND($H33*ИНФА!$F$11,0)))</f>
        <v/>
      </c>
      <c r="N33" s="38" t="str">
        <f aca="false">IF($B33="","",IF($J33="да",0,$H33-N($I33)+$M33))</f>
        <v/>
      </c>
      <c r="O33" s="38" t="str">
        <f aca="false">IF($B33="","",IF($J33="да",$H33-N($I33)+$M33,0))</f>
        <v/>
      </c>
      <c r="P33" s="38" t="str">
        <f aca="false">IF($A33="","",SUMIFS($B$22:$B$61,$A$22:$A$61,$A33,$J$22:$J$61,"&lt;&gt;да"))</f>
        <v/>
      </c>
      <c r="Q33" s="47" t="str">
        <f aca="false">IF($A33="","",IF($P33&gt;ИНФА!$F$10,"превышен лимит! ","")&amp;IF(AND($R33&lt;&gt;"",$R33=$A33),"поручитель — другая компания! ",""))</f>
        <v/>
      </c>
      <c r="R33" s="44"/>
      <c r="S33" s="38" t="str">
        <f aca="false">IF(OR($B33="",$R33=""),"",IF(AND($J33="да",$L33="",$R33&lt;&gt;$A33),ИНФА!$F$32,0))</f>
        <v/>
      </c>
      <c r="U33" s="44"/>
      <c r="V33" s="44"/>
      <c r="W33" s="44"/>
      <c r="X33" s="43"/>
      <c r="Y33" s="44"/>
      <c r="Z33" s="44"/>
    </row>
    <row r="34" customFormat="false" ht="15" hidden="false" customHeight="false" outlineLevel="0" collapsed="false">
      <c r="A34" s="44"/>
      <c r="B34" s="43"/>
      <c r="C34" s="44"/>
      <c r="D34" s="44"/>
      <c r="E34" s="45"/>
      <c r="F34" s="46" t="str">
        <f aca="false">IF($B34="","",IF($E34="",ИНФА!$F$9,$E34))</f>
        <v/>
      </c>
      <c r="G34" s="37" t="str">
        <f aca="false">IF($B34="","",$C34+$D34)</f>
        <v/>
      </c>
      <c r="H34" s="38" t="str">
        <f aca="false">IF($B34="","",ROUND($B34*(1+$F34*$D34),0))</f>
        <v/>
      </c>
      <c r="I34" s="43"/>
      <c r="J34" s="44"/>
      <c r="K34" s="44"/>
      <c r="L34" s="47" t="str">
        <f aca="false">IF($B34="","",IF($J34="да",IF(AND($K34&lt;&gt;"",$K34&gt;$G34),"погашен с просрочкой",""),IF(ИНФА!$F$5&gt;$G34,"ПРОСРОЧКА","")))</f>
        <v/>
      </c>
      <c r="M34" s="38" t="str">
        <f aca="false">IF($B34="","",IF($L34="",0,ROUND($H34*ИНФА!$F$11,0)))</f>
        <v/>
      </c>
      <c r="N34" s="38" t="str">
        <f aca="false">IF($B34="","",IF($J34="да",0,$H34-N($I34)+$M34))</f>
        <v/>
      </c>
      <c r="O34" s="38" t="str">
        <f aca="false">IF($B34="","",IF($J34="да",$H34-N($I34)+$M34,0))</f>
        <v/>
      </c>
      <c r="P34" s="38" t="str">
        <f aca="false">IF($A34="","",SUMIFS($B$22:$B$61,$A$22:$A$61,$A34,$J$22:$J$61,"&lt;&gt;да"))</f>
        <v/>
      </c>
      <c r="Q34" s="47" t="str">
        <f aca="false">IF($A34="","",IF($P34&gt;ИНФА!$F$10,"превышен лимит! ","")&amp;IF(AND($R34&lt;&gt;"",$R34=$A34),"поручитель — другая компания! ",""))</f>
        <v/>
      </c>
      <c r="R34" s="44"/>
      <c r="S34" s="38" t="str">
        <f aca="false">IF(OR($B34="",$R34=""),"",IF(AND($J34="да",$L34="",$R34&lt;&gt;$A34),ИНФА!$F$32,0))</f>
        <v/>
      </c>
      <c r="U34" s="44"/>
      <c r="V34" s="44"/>
      <c r="W34" s="44"/>
      <c r="X34" s="43"/>
      <c r="Y34" s="44"/>
      <c r="Z34" s="44"/>
    </row>
    <row r="35" customFormat="false" ht="15" hidden="false" customHeight="false" outlineLevel="0" collapsed="false">
      <c r="A35" s="44"/>
      <c r="B35" s="43"/>
      <c r="C35" s="44"/>
      <c r="D35" s="44"/>
      <c r="E35" s="45"/>
      <c r="F35" s="46" t="str">
        <f aca="false">IF($B35="","",IF($E35="",ИНФА!$F$9,$E35))</f>
        <v/>
      </c>
      <c r="G35" s="37" t="str">
        <f aca="false">IF($B35="","",$C35+$D35)</f>
        <v/>
      </c>
      <c r="H35" s="38" t="str">
        <f aca="false">IF($B35="","",ROUND($B35*(1+$F35*$D35),0))</f>
        <v/>
      </c>
      <c r="I35" s="43"/>
      <c r="J35" s="44"/>
      <c r="K35" s="44"/>
      <c r="L35" s="47" t="str">
        <f aca="false">IF($B35="","",IF($J35="да",IF(AND($K35&lt;&gt;"",$K35&gt;$G35),"погашен с просрочкой",""),IF(ИНФА!$F$5&gt;$G35,"ПРОСРОЧКА","")))</f>
        <v/>
      </c>
      <c r="M35" s="38" t="str">
        <f aca="false">IF($B35="","",IF($L35="",0,ROUND($H35*ИНФА!$F$11,0)))</f>
        <v/>
      </c>
      <c r="N35" s="38" t="str">
        <f aca="false">IF($B35="","",IF($J35="да",0,$H35-N($I35)+$M35))</f>
        <v/>
      </c>
      <c r="O35" s="38" t="str">
        <f aca="false">IF($B35="","",IF($J35="да",$H35-N($I35)+$M35,0))</f>
        <v/>
      </c>
      <c r="P35" s="38" t="str">
        <f aca="false">IF($A35="","",SUMIFS($B$22:$B$61,$A$22:$A$61,$A35,$J$22:$J$61,"&lt;&gt;да"))</f>
        <v/>
      </c>
      <c r="Q35" s="47" t="str">
        <f aca="false">IF($A35="","",IF($P35&gt;ИНФА!$F$10,"превышен лимит! ","")&amp;IF(AND($R35&lt;&gt;"",$R35=$A35),"поручитель — другая компания! ",""))</f>
        <v/>
      </c>
      <c r="R35" s="44"/>
      <c r="S35" s="38" t="str">
        <f aca="false">IF(OR($B35="",$R35=""),"",IF(AND($J35="да",$L35="",$R35&lt;&gt;$A35),ИНФА!$F$32,0))</f>
        <v/>
      </c>
      <c r="U35" s="44"/>
      <c r="V35" s="44"/>
      <c r="W35" s="44"/>
      <c r="X35" s="43"/>
      <c r="Y35" s="44"/>
      <c r="Z35" s="44"/>
    </row>
    <row r="36" customFormat="false" ht="15" hidden="false" customHeight="false" outlineLevel="0" collapsed="false">
      <c r="A36" s="44"/>
      <c r="B36" s="43"/>
      <c r="C36" s="44"/>
      <c r="D36" s="44"/>
      <c r="E36" s="45"/>
      <c r="F36" s="46" t="str">
        <f aca="false">IF($B36="","",IF($E36="",ИНФА!$F$9,$E36))</f>
        <v/>
      </c>
      <c r="G36" s="37" t="str">
        <f aca="false">IF($B36="","",$C36+$D36)</f>
        <v/>
      </c>
      <c r="H36" s="38" t="str">
        <f aca="false">IF($B36="","",ROUND($B36*(1+$F36*$D36),0))</f>
        <v/>
      </c>
      <c r="I36" s="43"/>
      <c r="J36" s="44"/>
      <c r="K36" s="44"/>
      <c r="L36" s="47" t="str">
        <f aca="false">IF($B36="","",IF($J36="да",IF(AND($K36&lt;&gt;"",$K36&gt;$G36),"погашен с просрочкой",""),IF(ИНФА!$F$5&gt;$G36,"ПРОСРОЧКА","")))</f>
        <v/>
      </c>
      <c r="M36" s="38" t="str">
        <f aca="false">IF($B36="","",IF($L36="",0,ROUND($H36*ИНФА!$F$11,0)))</f>
        <v/>
      </c>
      <c r="N36" s="38" t="str">
        <f aca="false">IF($B36="","",IF($J36="да",0,$H36-N($I36)+$M36))</f>
        <v/>
      </c>
      <c r="O36" s="38" t="str">
        <f aca="false">IF($B36="","",IF($J36="да",$H36-N($I36)+$M36,0))</f>
        <v/>
      </c>
      <c r="P36" s="38" t="str">
        <f aca="false">IF($A36="","",SUMIFS($B$22:$B$61,$A$22:$A$61,$A36,$J$22:$J$61,"&lt;&gt;да"))</f>
        <v/>
      </c>
      <c r="Q36" s="47" t="str">
        <f aca="false">IF($A36="","",IF($P36&gt;ИНФА!$F$10,"превышен лимит! ","")&amp;IF(AND($R36&lt;&gt;"",$R36=$A36),"поручитель — другая компания! ",""))</f>
        <v/>
      </c>
      <c r="R36" s="44"/>
      <c r="S36" s="38" t="str">
        <f aca="false">IF(OR($B36="",$R36=""),"",IF(AND($J36="да",$L36="",$R36&lt;&gt;$A36),ИНФА!$F$32,0))</f>
        <v/>
      </c>
      <c r="U36" s="44"/>
      <c r="V36" s="44"/>
      <c r="W36" s="44"/>
      <c r="X36" s="43"/>
      <c r="Y36" s="44"/>
      <c r="Z36" s="44"/>
    </row>
    <row r="37" customFormat="false" ht="15" hidden="false" customHeight="false" outlineLevel="0" collapsed="false">
      <c r="A37" s="44"/>
      <c r="B37" s="43"/>
      <c r="C37" s="44"/>
      <c r="D37" s="44"/>
      <c r="E37" s="45"/>
      <c r="F37" s="46" t="str">
        <f aca="false">IF($B37="","",IF($E37="",ИНФА!$F$9,$E37))</f>
        <v/>
      </c>
      <c r="G37" s="37" t="str">
        <f aca="false">IF($B37="","",$C37+$D37)</f>
        <v/>
      </c>
      <c r="H37" s="38" t="str">
        <f aca="false">IF($B37="","",ROUND($B37*(1+$F37*$D37),0))</f>
        <v/>
      </c>
      <c r="I37" s="43"/>
      <c r="J37" s="44"/>
      <c r="K37" s="44"/>
      <c r="L37" s="47" t="str">
        <f aca="false">IF($B37="","",IF($J37="да",IF(AND($K37&lt;&gt;"",$K37&gt;$G37),"погашен с просрочкой",""),IF(ИНФА!$F$5&gt;$G37,"ПРОСРОЧКА","")))</f>
        <v/>
      </c>
      <c r="M37" s="38" t="str">
        <f aca="false">IF($B37="","",IF($L37="",0,ROUND($H37*ИНФА!$F$11,0)))</f>
        <v/>
      </c>
      <c r="N37" s="38" t="str">
        <f aca="false">IF($B37="","",IF($J37="да",0,$H37-N($I37)+$M37))</f>
        <v/>
      </c>
      <c r="O37" s="38" t="str">
        <f aca="false">IF($B37="","",IF($J37="да",$H37-N($I37)+$M37,0))</f>
        <v/>
      </c>
      <c r="P37" s="38" t="str">
        <f aca="false">IF($A37="","",SUMIFS($B$22:$B$61,$A$22:$A$61,$A37,$J$22:$J$61,"&lt;&gt;да"))</f>
        <v/>
      </c>
      <c r="Q37" s="47" t="str">
        <f aca="false">IF($A37="","",IF($P37&gt;ИНФА!$F$10,"превышен лимит! ","")&amp;IF(AND($R37&lt;&gt;"",$R37=$A37),"поручитель — другая компания! ",""))</f>
        <v/>
      </c>
      <c r="R37" s="44"/>
      <c r="S37" s="38" t="str">
        <f aca="false">IF(OR($B37="",$R37=""),"",IF(AND($J37="да",$L37="",$R37&lt;&gt;$A37),ИНФА!$F$32,0))</f>
        <v/>
      </c>
      <c r="U37" s="44"/>
      <c r="V37" s="44"/>
      <c r="W37" s="44"/>
      <c r="X37" s="43"/>
      <c r="Y37" s="44"/>
      <c r="Z37" s="44"/>
    </row>
    <row r="38" customFormat="false" ht="15" hidden="false" customHeight="false" outlineLevel="0" collapsed="false">
      <c r="A38" s="44"/>
      <c r="B38" s="43"/>
      <c r="C38" s="44"/>
      <c r="D38" s="44"/>
      <c r="E38" s="45"/>
      <c r="F38" s="46" t="str">
        <f aca="false">IF($B38="","",IF($E38="",ИНФА!$F$9,$E38))</f>
        <v/>
      </c>
      <c r="G38" s="37" t="str">
        <f aca="false">IF($B38="","",$C38+$D38)</f>
        <v/>
      </c>
      <c r="H38" s="38" t="str">
        <f aca="false">IF($B38="","",ROUND($B38*(1+$F38*$D38),0))</f>
        <v/>
      </c>
      <c r="I38" s="43"/>
      <c r="J38" s="44"/>
      <c r="K38" s="44"/>
      <c r="L38" s="47" t="str">
        <f aca="false">IF($B38="","",IF($J38="да",IF(AND($K38&lt;&gt;"",$K38&gt;$G38),"погашен с просрочкой",""),IF(ИНФА!$F$5&gt;$G38,"ПРОСРОЧКА","")))</f>
        <v/>
      </c>
      <c r="M38" s="38" t="str">
        <f aca="false">IF($B38="","",IF($L38="",0,ROUND($H38*ИНФА!$F$11,0)))</f>
        <v/>
      </c>
      <c r="N38" s="38" t="str">
        <f aca="false">IF($B38="","",IF($J38="да",0,$H38-N($I38)+$M38))</f>
        <v/>
      </c>
      <c r="O38" s="38" t="str">
        <f aca="false">IF($B38="","",IF($J38="да",$H38-N($I38)+$M38,0))</f>
        <v/>
      </c>
      <c r="P38" s="38" t="str">
        <f aca="false">IF($A38="","",SUMIFS($B$22:$B$61,$A$22:$A$61,$A38,$J$22:$J$61,"&lt;&gt;да"))</f>
        <v/>
      </c>
      <c r="Q38" s="47" t="str">
        <f aca="false">IF($A38="","",IF($P38&gt;ИНФА!$F$10,"превышен лимит! ","")&amp;IF(AND($R38&lt;&gt;"",$R38=$A38),"поручитель — другая компания! ",""))</f>
        <v/>
      </c>
      <c r="R38" s="44"/>
      <c r="S38" s="38" t="str">
        <f aca="false">IF(OR($B38="",$R38=""),"",IF(AND($J38="да",$L38="",$R38&lt;&gt;$A38),ИНФА!$F$32,0))</f>
        <v/>
      </c>
      <c r="U38" s="44"/>
      <c r="V38" s="44"/>
      <c r="W38" s="44"/>
      <c r="X38" s="43"/>
      <c r="Y38" s="44"/>
      <c r="Z38" s="44"/>
    </row>
    <row r="39" customFormat="false" ht="15" hidden="false" customHeight="false" outlineLevel="0" collapsed="false">
      <c r="A39" s="44"/>
      <c r="B39" s="43"/>
      <c r="C39" s="44"/>
      <c r="D39" s="44"/>
      <c r="E39" s="45"/>
      <c r="F39" s="46" t="str">
        <f aca="false">IF($B39="","",IF($E39="",ИНФА!$F$9,$E39))</f>
        <v/>
      </c>
      <c r="G39" s="37" t="str">
        <f aca="false">IF($B39="","",$C39+$D39)</f>
        <v/>
      </c>
      <c r="H39" s="38" t="str">
        <f aca="false">IF($B39="","",ROUND($B39*(1+$F39*$D39),0))</f>
        <v/>
      </c>
      <c r="I39" s="43"/>
      <c r="J39" s="44"/>
      <c r="K39" s="44"/>
      <c r="L39" s="47" t="str">
        <f aca="false">IF($B39="","",IF($J39="да",IF(AND($K39&lt;&gt;"",$K39&gt;$G39),"погашен с просрочкой",""),IF(ИНФА!$F$5&gt;$G39,"ПРОСРОЧКА","")))</f>
        <v/>
      </c>
      <c r="M39" s="38" t="str">
        <f aca="false">IF($B39="","",IF($L39="",0,ROUND($H39*ИНФА!$F$11,0)))</f>
        <v/>
      </c>
      <c r="N39" s="38" t="str">
        <f aca="false">IF($B39="","",IF($J39="да",0,$H39-N($I39)+$M39))</f>
        <v/>
      </c>
      <c r="O39" s="38" t="str">
        <f aca="false">IF($B39="","",IF($J39="да",$H39-N($I39)+$M39,0))</f>
        <v/>
      </c>
      <c r="P39" s="38" t="str">
        <f aca="false">IF($A39="","",SUMIFS($B$22:$B$61,$A$22:$A$61,$A39,$J$22:$J$61,"&lt;&gt;да"))</f>
        <v/>
      </c>
      <c r="Q39" s="47" t="str">
        <f aca="false">IF($A39="","",IF($P39&gt;ИНФА!$F$10,"превышен лимит! ","")&amp;IF(AND($R39&lt;&gt;"",$R39=$A39),"поручитель — другая компания! ",""))</f>
        <v/>
      </c>
      <c r="R39" s="44"/>
      <c r="S39" s="38" t="str">
        <f aca="false">IF(OR($B39="",$R39=""),"",IF(AND($J39="да",$L39="",$R39&lt;&gt;$A39),ИНФА!$F$32,0))</f>
        <v/>
      </c>
      <c r="U39" s="44"/>
      <c r="V39" s="44"/>
      <c r="W39" s="44"/>
      <c r="X39" s="43"/>
      <c r="Y39" s="44"/>
      <c r="Z39" s="44"/>
    </row>
    <row r="40" customFormat="false" ht="15" hidden="false" customHeight="false" outlineLevel="0" collapsed="false">
      <c r="A40" s="44"/>
      <c r="B40" s="43"/>
      <c r="C40" s="44"/>
      <c r="D40" s="44"/>
      <c r="E40" s="45"/>
      <c r="F40" s="46" t="str">
        <f aca="false">IF($B40="","",IF($E40="",ИНФА!$F$9,$E40))</f>
        <v/>
      </c>
      <c r="G40" s="37" t="str">
        <f aca="false">IF($B40="","",$C40+$D40)</f>
        <v/>
      </c>
      <c r="H40" s="38" t="str">
        <f aca="false">IF($B40="","",ROUND($B40*(1+$F40*$D40),0))</f>
        <v/>
      </c>
      <c r="I40" s="43"/>
      <c r="J40" s="44"/>
      <c r="K40" s="44"/>
      <c r="L40" s="47" t="str">
        <f aca="false">IF($B40="","",IF($J40="да",IF(AND($K40&lt;&gt;"",$K40&gt;$G40),"погашен с просрочкой",""),IF(ИНФА!$F$5&gt;$G40,"ПРОСРОЧКА","")))</f>
        <v/>
      </c>
      <c r="M40" s="38" t="str">
        <f aca="false">IF($B40="","",IF($L40="",0,ROUND($H40*ИНФА!$F$11,0)))</f>
        <v/>
      </c>
      <c r="N40" s="38" t="str">
        <f aca="false">IF($B40="","",IF($J40="да",0,$H40-N($I40)+$M40))</f>
        <v/>
      </c>
      <c r="O40" s="38" t="str">
        <f aca="false">IF($B40="","",IF($J40="да",$H40-N($I40)+$M40,0))</f>
        <v/>
      </c>
      <c r="P40" s="38" t="str">
        <f aca="false">IF($A40="","",SUMIFS($B$22:$B$61,$A$22:$A$61,$A40,$J$22:$J$61,"&lt;&gt;да"))</f>
        <v/>
      </c>
      <c r="Q40" s="47" t="str">
        <f aca="false">IF($A40="","",IF($P40&gt;ИНФА!$F$10,"превышен лимит! ","")&amp;IF(AND($R40&lt;&gt;"",$R40=$A40),"поручитель — другая компания! ",""))</f>
        <v/>
      </c>
      <c r="R40" s="44"/>
      <c r="S40" s="38" t="str">
        <f aca="false">IF(OR($B40="",$R40=""),"",IF(AND($J40="да",$L40="",$R40&lt;&gt;$A40),ИНФА!$F$32,0))</f>
        <v/>
      </c>
      <c r="U40" s="44"/>
      <c r="V40" s="44"/>
      <c r="W40" s="44"/>
      <c r="X40" s="43"/>
      <c r="Y40" s="44"/>
      <c r="Z40" s="44"/>
    </row>
    <row r="41" customFormat="false" ht="15" hidden="false" customHeight="false" outlineLevel="0" collapsed="false">
      <c r="A41" s="44"/>
      <c r="B41" s="43"/>
      <c r="C41" s="44"/>
      <c r="D41" s="44"/>
      <c r="E41" s="45"/>
      <c r="F41" s="46" t="str">
        <f aca="false">IF($B41="","",IF($E41="",ИНФА!$F$9,$E41))</f>
        <v/>
      </c>
      <c r="G41" s="37" t="str">
        <f aca="false">IF($B41="","",$C41+$D41)</f>
        <v/>
      </c>
      <c r="H41" s="38" t="str">
        <f aca="false">IF($B41="","",ROUND($B41*(1+$F41*$D41),0))</f>
        <v/>
      </c>
      <c r="I41" s="43"/>
      <c r="J41" s="44"/>
      <c r="K41" s="44"/>
      <c r="L41" s="47" t="str">
        <f aca="false">IF($B41="","",IF($J41="да",IF(AND($K41&lt;&gt;"",$K41&gt;$G41),"погашен с просрочкой",""),IF(ИНФА!$F$5&gt;$G41,"ПРОСРОЧКА","")))</f>
        <v/>
      </c>
      <c r="M41" s="38" t="str">
        <f aca="false">IF($B41="","",IF($L41="",0,ROUND($H41*ИНФА!$F$11,0)))</f>
        <v/>
      </c>
      <c r="N41" s="38" t="str">
        <f aca="false">IF($B41="","",IF($J41="да",0,$H41-N($I41)+$M41))</f>
        <v/>
      </c>
      <c r="O41" s="38" t="str">
        <f aca="false">IF($B41="","",IF($J41="да",$H41-N($I41)+$M41,0))</f>
        <v/>
      </c>
      <c r="P41" s="38" t="str">
        <f aca="false">IF($A41="","",SUMIFS($B$22:$B$61,$A$22:$A$61,$A41,$J$22:$J$61,"&lt;&gt;да"))</f>
        <v/>
      </c>
      <c r="Q41" s="47" t="str">
        <f aca="false">IF($A41="","",IF($P41&gt;ИНФА!$F$10,"превышен лимит! ","")&amp;IF(AND($R41&lt;&gt;"",$R41=$A41),"поручитель — другая компания! ",""))</f>
        <v/>
      </c>
      <c r="R41" s="44"/>
      <c r="S41" s="38" t="str">
        <f aca="false">IF(OR($B41="",$R41=""),"",IF(AND($J41="да",$L41="",$R41&lt;&gt;$A41),ИНФА!$F$32,0))</f>
        <v/>
      </c>
      <c r="U41" s="44"/>
      <c r="V41" s="44"/>
      <c r="W41" s="44"/>
      <c r="X41" s="43"/>
      <c r="Y41" s="44"/>
      <c r="Z41" s="44"/>
    </row>
    <row r="42" customFormat="false" ht="15" hidden="false" customHeight="false" outlineLevel="0" collapsed="false">
      <c r="A42" s="44"/>
      <c r="B42" s="43"/>
      <c r="C42" s="44"/>
      <c r="D42" s="44"/>
      <c r="E42" s="45"/>
      <c r="F42" s="46" t="str">
        <f aca="false">IF($B42="","",IF($E42="",ИНФА!$F$9,$E42))</f>
        <v/>
      </c>
      <c r="G42" s="37" t="str">
        <f aca="false">IF($B42="","",$C42+$D42)</f>
        <v/>
      </c>
      <c r="H42" s="38" t="str">
        <f aca="false">IF($B42="","",ROUND($B42*(1+$F42*$D42),0))</f>
        <v/>
      </c>
      <c r="I42" s="43"/>
      <c r="J42" s="44"/>
      <c r="K42" s="44"/>
      <c r="L42" s="47" t="str">
        <f aca="false">IF($B42="","",IF($J42="да",IF(AND($K42&lt;&gt;"",$K42&gt;$G42),"погашен с просрочкой",""),IF(ИНФА!$F$5&gt;$G42,"ПРОСРОЧКА","")))</f>
        <v/>
      </c>
      <c r="M42" s="38" t="str">
        <f aca="false">IF($B42="","",IF($L42="",0,ROUND($H42*ИНФА!$F$11,0)))</f>
        <v/>
      </c>
      <c r="N42" s="38" t="str">
        <f aca="false">IF($B42="","",IF($J42="да",0,$H42-N($I42)+$M42))</f>
        <v/>
      </c>
      <c r="O42" s="38" t="str">
        <f aca="false">IF($B42="","",IF($J42="да",$H42-N($I42)+$M42,0))</f>
        <v/>
      </c>
      <c r="P42" s="38" t="str">
        <f aca="false">IF($A42="","",SUMIFS($B$22:$B$61,$A$22:$A$61,$A42,$J$22:$J$61,"&lt;&gt;да"))</f>
        <v/>
      </c>
      <c r="Q42" s="47" t="str">
        <f aca="false">IF($A42="","",IF($P42&gt;ИНФА!$F$10,"превышен лимит! ","")&amp;IF(AND($R42&lt;&gt;"",$R42=$A42),"поручитель — другая компания! ",""))</f>
        <v/>
      </c>
      <c r="R42" s="44"/>
      <c r="S42" s="38" t="str">
        <f aca="false">IF(OR($B42="",$R42=""),"",IF(AND($J42="да",$L42="",$R42&lt;&gt;$A42),ИНФА!$F$32,0))</f>
        <v/>
      </c>
      <c r="U42" s="44"/>
      <c r="V42" s="44"/>
      <c r="W42" s="44"/>
      <c r="X42" s="43"/>
      <c r="Y42" s="44"/>
      <c r="Z42" s="44"/>
    </row>
    <row r="43" customFormat="false" ht="15" hidden="false" customHeight="false" outlineLevel="0" collapsed="false">
      <c r="A43" s="44"/>
      <c r="B43" s="43"/>
      <c r="C43" s="44"/>
      <c r="D43" s="44"/>
      <c r="E43" s="45"/>
      <c r="F43" s="46" t="str">
        <f aca="false">IF($B43="","",IF($E43="",ИНФА!$F$9,$E43))</f>
        <v/>
      </c>
      <c r="G43" s="37" t="str">
        <f aca="false">IF($B43="","",$C43+$D43)</f>
        <v/>
      </c>
      <c r="H43" s="38" t="str">
        <f aca="false">IF($B43="","",ROUND($B43*(1+$F43*$D43),0))</f>
        <v/>
      </c>
      <c r="I43" s="43"/>
      <c r="J43" s="44"/>
      <c r="K43" s="44"/>
      <c r="L43" s="47" t="str">
        <f aca="false">IF($B43="","",IF($J43="да",IF(AND($K43&lt;&gt;"",$K43&gt;$G43),"погашен с просрочкой",""),IF(ИНФА!$F$5&gt;$G43,"ПРОСРОЧКА","")))</f>
        <v/>
      </c>
      <c r="M43" s="38" t="str">
        <f aca="false">IF($B43="","",IF($L43="",0,ROUND($H43*ИНФА!$F$11,0)))</f>
        <v/>
      </c>
      <c r="N43" s="38" t="str">
        <f aca="false">IF($B43="","",IF($J43="да",0,$H43-N($I43)+$M43))</f>
        <v/>
      </c>
      <c r="O43" s="38" t="str">
        <f aca="false">IF($B43="","",IF($J43="да",$H43-N($I43)+$M43,0))</f>
        <v/>
      </c>
      <c r="P43" s="38" t="str">
        <f aca="false">IF($A43="","",SUMIFS($B$22:$B$61,$A$22:$A$61,$A43,$J$22:$J$61,"&lt;&gt;да"))</f>
        <v/>
      </c>
      <c r="Q43" s="47" t="str">
        <f aca="false">IF($A43="","",IF($P43&gt;ИНФА!$F$10,"превышен лимит! ","")&amp;IF(AND($R43&lt;&gt;"",$R43=$A43),"поручитель — другая компания! ",""))</f>
        <v/>
      </c>
      <c r="R43" s="44"/>
      <c r="S43" s="38" t="str">
        <f aca="false">IF(OR($B43="",$R43=""),"",IF(AND($J43="да",$L43="",$R43&lt;&gt;$A43),ИНФА!$F$32,0))</f>
        <v/>
      </c>
      <c r="U43" s="44"/>
      <c r="V43" s="44"/>
      <c r="W43" s="44"/>
      <c r="X43" s="43"/>
      <c r="Y43" s="44"/>
      <c r="Z43" s="44"/>
    </row>
    <row r="44" customFormat="false" ht="15" hidden="false" customHeight="false" outlineLevel="0" collapsed="false">
      <c r="A44" s="44"/>
      <c r="B44" s="43"/>
      <c r="C44" s="44"/>
      <c r="D44" s="44"/>
      <c r="E44" s="45"/>
      <c r="F44" s="46" t="str">
        <f aca="false">IF($B44="","",IF($E44="",ИНФА!$F$9,$E44))</f>
        <v/>
      </c>
      <c r="G44" s="37" t="str">
        <f aca="false">IF($B44="","",$C44+$D44)</f>
        <v/>
      </c>
      <c r="H44" s="38" t="str">
        <f aca="false">IF($B44="","",ROUND($B44*(1+$F44*$D44),0))</f>
        <v/>
      </c>
      <c r="I44" s="43"/>
      <c r="J44" s="44"/>
      <c r="K44" s="44"/>
      <c r="L44" s="47" t="str">
        <f aca="false">IF($B44="","",IF($J44="да",IF(AND($K44&lt;&gt;"",$K44&gt;$G44),"погашен с просрочкой",""),IF(ИНФА!$F$5&gt;$G44,"ПРОСРОЧКА","")))</f>
        <v/>
      </c>
      <c r="M44" s="38" t="str">
        <f aca="false">IF($B44="","",IF($L44="",0,ROUND($H44*ИНФА!$F$11,0)))</f>
        <v/>
      </c>
      <c r="N44" s="38" t="str">
        <f aca="false">IF($B44="","",IF($J44="да",0,$H44-N($I44)+$M44))</f>
        <v/>
      </c>
      <c r="O44" s="38" t="str">
        <f aca="false">IF($B44="","",IF($J44="да",$H44-N($I44)+$M44,0))</f>
        <v/>
      </c>
      <c r="P44" s="38" t="str">
        <f aca="false">IF($A44="","",SUMIFS($B$22:$B$61,$A$22:$A$61,$A44,$J$22:$J$61,"&lt;&gt;да"))</f>
        <v/>
      </c>
      <c r="Q44" s="47" t="str">
        <f aca="false">IF($A44="","",IF($P44&gt;ИНФА!$F$10,"превышен лимит! ","")&amp;IF(AND($R44&lt;&gt;"",$R44=$A44),"поручитель — другая компания! ",""))</f>
        <v/>
      </c>
      <c r="R44" s="44"/>
      <c r="S44" s="38" t="str">
        <f aca="false">IF(OR($B44="",$R44=""),"",IF(AND($J44="да",$L44="",$R44&lt;&gt;$A44),ИНФА!$F$32,0))</f>
        <v/>
      </c>
      <c r="U44" s="44"/>
      <c r="V44" s="44"/>
      <c r="W44" s="44"/>
      <c r="X44" s="43"/>
      <c r="Y44" s="44"/>
      <c r="Z44" s="44"/>
    </row>
    <row r="45" customFormat="false" ht="15" hidden="false" customHeight="false" outlineLevel="0" collapsed="false">
      <c r="A45" s="44"/>
      <c r="B45" s="43"/>
      <c r="C45" s="44"/>
      <c r="D45" s="44"/>
      <c r="E45" s="45"/>
      <c r="F45" s="46" t="str">
        <f aca="false">IF($B45="","",IF($E45="",ИНФА!$F$9,$E45))</f>
        <v/>
      </c>
      <c r="G45" s="37" t="str">
        <f aca="false">IF($B45="","",$C45+$D45)</f>
        <v/>
      </c>
      <c r="H45" s="38" t="str">
        <f aca="false">IF($B45="","",ROUND($B45*(1+$F45*$D45),0))</f>
        <v/>
      </c>
      <c r="I45" s="43"/>
      <c r="J45" s="44"/>
      <c r="K45" s="44"/>
      <c r="L45" s="47" t="str">
        <f aca="false">IF($B45="","",IF($J45="да",IF(AND($K45&lt;&gt;"",$K45&gt;$G45),"погашен с просрочкой",""),IF(ИНФА!$F$5&gt;$G45,"ПРОСРОЧКА","")))</f>
        <v/>
      </c>
      <c r="M45" s="38" t="str">
        <f aca="false">IF($B45="","",IF($L45="",0,ROUND($H45*ИНФА!$F$11,0)))</f>
        <v/>
      </c>
      <c r="N45" s="38" t="str">
        <f aca="false">IF($B45="","",IF($J45="да",0,$H45-N($I45)+$M45))</f>
        <v/>
      </c>
      <c r="O45" s="38" t="str">
        <f aca="false">IF($B45="","",IF($J45="да",$H45-N($I45)+$M45,0))</f>
        <v/>
      </c>
      <c r="P45" s="38" t="str">
        <f aca="false">IF($A45="","",SUMIFS($B$22:$B$61,$A$22:$A$61,$A45,$J$22:$J$61,"&lt;&gt;да"))</f>
        <v/>
      </c>
      <c r="Q45" s="47" t="str">
        <f aca="false">IF($A45="","",IF($P45&gt;ИНФА!$F$10,"превышен лимит! ","")&amp;IF(AND($R45&lt;&gt;"",$R45=$A45),"поручитель — другая компания! ",""))</f>
        <v/>
      </c>
      <c r="R45" s="44"/>
      <c r="S45" s="38" t="str">
        <f aca="false">IF(OR($B45="",$R45=""),"",IF(AND($J45="да",$L45="",$R45&lt;&gt;$A45),ИНФА!$F$32,0))</f>
        <v/>
      </c>
      <c r="U45" s="44"/>
      <c r="V45" s="44"/>
      <c r="W45" s="44"/>
      <c r="X45" s="43"/>
      <c r="Y45" s="44"/>
      <c r="Z45" s="44"/>
    </row>
    <row r="46" customFormat="false" ht="15" hidden="false" customHeight="false" outlineLevel="0" collapsed="false">
      <c r="A46" s="44"/>
      <c r="B46" s="43"/>
      <c r="C46" s="44"/>
      <c r="D46" s="44"/>
      <c r="E46" s="45"/>
      <c r="F46" s="46" t="str">
        <f aca="false">IF($B46="","",IF($E46="",ИНФА!$F$9,$E46))</f>
        <v/>
      </c>
      <c r="G46" s="37" t="str">
        <f aca="false">IF($B46="","",$C46+$D46)</f>
        <v/>
      </c>
      <c r="H46" s="38" t="str">
        <f aca="false">IF($B46="","",ROUND($B46*(1+$F46*$D46),0))</f>
        <v/>
      </c>
      <c r="I46" s="43"/>
      <c r="J46" s="44"/>
      <c r="K46" s="44"/>
      <c r="L46" s="47" t="str">
        <f aca="false">IF($B46="","",IF($J46="да",IF(AND($K46&lt;&gt;"",$K46&gt;$G46),"погашен с просрочкой",""),IF(ИНФА!$F$5&gt;$G46,"ПРОСРОЧКА","")))</f>
        <v/>
      </c>
      <c r="M46" s="38" t="str">
        <f aca="false">IF($B46="","",IF($L46="",0,ROUND($H46*ИНФА!$F$11,0)))</f>
        <v/>
      </c>
      <c r="N46" s="38" t="str">
        <f aca="false">IF($B46="","",IF($J46="да",0,$H46-N($I46)+$M46))</f>
        <v/>
      </c>
      <c r="O46" s="38" t="str">
        <f aca="false">IF($B46="","",IF($J46="да",$H46-N($I46)+$M46,0))</f>
        <v/>
      </c>
      <c r="P46" s="38" t="str">
        <f aca="false">IF($A46="","",SUMIFS($B$22:$B$61,$A$22:$A$61,$A46,$J$22:$J$61,"&lt;&gt;да"))</f>
        <v/>
      </c>
      <c r="Q46" s="47" t="str">
        <f aca="false">IF($A46="","",IF($P46&gt;ИНФА!$F$10,"превышен лимит! ","")&amp;IF(AND($R46&lt;&gt;"",$R46=$A46),"поручитель — другая компания! ",""))</f>
        <v/>
      </c>
      <c r="R46" s="44"/>
      <c r="S46" s="38" t="str">
        <f aca="false">IF(OR($B46="",$R46=""),"",IF(AND($J46="да",$L46="",$R46&lt;&gt;$A46),ИНФА!$F$32,0))</f>
        <v/>
      </c>
      <c r="U46" s="44"/>
      <c r="V46" s="44"/>
      <c r="W46" s="44"/>
      <c r="X46" s="43"/>
      <c r="Y46" s="44"/>
      <c r="Z46" s="44"/>
    </row>
    <row r="47" customFormat="false" ht="15" hidden="false" customHeight="false" outlineLevel="0" collapsed="false">
      <c r="A47" s="44"/>
      <c r="B47" s="43"/>
      <c r="C47" s="44"/>
      <c r="D47" s="44"/>
      <c r="E47" s="45"/>
      <c r="F47" s="46" t="str">
        <f aca="false">IF($B47="","",IF($E47="",ИНФА!$F$9,$E47))</f>
        <v/>
      </c>
      <c r="G47" s="37" t="str">
        <f aca="false">IF($B47="","",$C47+$D47)</f>
        <v/>
      </c>
      <c r="H47" s="38" t="str">
        <f aca="false">IF($B47="","",ROUND($B47*(1+$F47*$D47),0))</f>
        <v/>
      </c>
      <c r="I47" s="43"/>
      <c r="J47" s="44"/>
      <c r="K47" s="44"/>
      <c r="L47" s="47" t="str">
        <f aca="false">IF($B47="","",IF($J47="да",IF(AND($K47&lt;&gt;"",$K47&gt;$G47),"погашен с просрочкой",""),IF(ИНФА!$F$5&gt;$G47,"ПРОСРОЧКА","")))</f>
        <v/>
      </c>
      <c r="M47" s="38" t="str">
        <f aca="false">IF($B47="","",IF($L47="",0,ROUND($H47*ИНФА!$F$11,0)))</f>
        <v/>
      </c>
      <c r="N47" s="38" t="str">
        <f aca="false">IF($B47="","",IF($J47="да",0,$H47-N($I47)+$M47))</f>
        <v/>
      </c>
      <c r="O47" s="38" t="str">
        <f aca="false">IF($B47="","",IF($J47="да",$H47-N($I47)+$M47,0))</f>
        <v/>
      </c>
      <c r="P47" s="38" t="str">
        <f aca="false">IF($A47="","",SUMIFS($B$22:$B$61,$A$22:$A$61,$A47,$J$22:$J$61,"&lt;&gt;да"))</f>
        <v/>
      </c>
      <c r="Q47" s="47" t="str">
        <f aca="false">IF($A47="","",IF($P47&gt;ИНФА!$F$10,"превышен лимит! ","")&amp;IF(AND($R47&lt;&gt;"",$R47=$A47),"поручитель — другая компания! ",""))</f>
        <v/>
      </c>
      <c r="R47" s="44"/>
      <c r="S47" s="38" t="str">
        <f aca="false">IF(OR($B47="",$R47=""),"",IF(AND($J47="да",$L47="",$R47&lt;&gt;$A47),ИНФА!$F$32,0))</f>
        <v/>
      </c>
      <c r="U47" s="44"/>
      <c r="V47" s="44"/>
      <c r="W47" s="44"/>
      <c r="X47" s="43"/>
      <c r="Y47" s="44"/>
      <c r="Z47" s="44"/>
    </row>
    <row r="48" customFormat="false" ht="15" hidden="false" customHeight="false" outlineLevel="0" collapsed="false">
      <c r="A48" s="44"/>
      <c r="B48" s="43"/>
      <c r="C48" s="44"/>
      <c r="D48" s="44"/>
      <c r="E48" s="45"/>
      <c r="F48" s="46" t="str">
        <f aca="false">IF($B48="","",IF($E48="",ИНФА!$F$9,$E48))</f>
        <v/>
      </c>
      <c r="G48" s="37" t="str">
        <f aca="false">IF($B48="","",$C48+$D48)</f>
        <v/>
      </c>
      <c r="H48" s="38" t="str">
        <f aca="false">IF($B48="","",ROUND($B48*(1+$F48*$D48),0))</f>
        <v/>
      </c>
      <c r="I48" s="43"/>
      <c r="J48" s="44"/>
      <c r="K48" s="44"/>
      <c r="L48" s="47" t="str">
        <f aca="false">IF($B48="","",IF($J48="да",IF(AND($K48&lt;&gt;"",$K48&gt;$G48),"погашен с просрочкой",""),IF(ИНФА!$F$5&gt;$G48,"ПРОСРОЧКА","")))</f>
        <v/>
      </c>
      <c r="M48" s="38" t="str">
        <f aca="false">IF($B48="","",IF($L48="",0,ROUND($H48*ИНФА!$F$11,0)))</f>
        <v/>
      </c>
      <c r="N48" s="38" t="str">
        <f aca="false">IF($B48="","",IF($J48="да",0,$H48-N($I48)+$M48))</f>
        <v/>
      </c>
      <c r="O48" s="38" t="str">
        <f aca="false">IF($B48="","",IF($J48="да",$H48-N($I48)+$M48,0))</f>
        <v/>
      </c>
      <c r="P48" s="38" t="str">
        <f aca="false">IF($A48="","",SUMIFS($B$22:$B$61,$A$22:$A$61,$A48,$J$22:$J$61,"&lt;&gt;да"))</f>
        <v/>
      </c>
      <c r="Q48" s="47" t="str">
        <f aca="false">IF($A48="","",IF($P48&gt;ИНФА!$F$10,"превышен лимит! ","")&amp;IF(AND($R48&lt;&gt;"",$R48=$A48),"поручитель — другая компания! ",""))</f>
        <v/>
      </c>
      <c r="R48" s="44"/>
      <c r="S48" s="38" t="str">
        <f aca="false">IF(OR($B48="",$R48=""),"",IF(AND($J48="да",$L48="",$R48&lt;&gt;$A48),ИНФА!$F$32,0))</f>
        <v/>
      </c>
      <c r="U48" s="44"/>
      <c r="V48" s="44"/>
      <c r="W48" s="44"/>
      <c r="X48" s="43"/>
      <c r="Y48" s="44"/>
      <c r="Z48" s="44"/>
    </row>
    <row r="49" customFormat="false" ht="15" hidden="false" customHeight="false" outlineLevel="0" collapsed="false">
      <c r="A49" s="44"/>
      <c r="B49" s="43"/>
      <c r="C49" s="44"/>
      <c r="D49" s="44"/>
      <c r="E49" s="45"/>
      <c r="F49" s="46" t="str">
        <f aca="false">IF($B49="","",IF($E49="",ИНФА!$F$9,$E49))</f>
        <v/>
      </c>
      <c r="G49" s="37" t="str">
        <f aca="false">IF($B49="","",$C49+$D49)</f>
        <v/>
      </c>
      <c r="H49" s="38" t="str">
        <f aca="false">IF($B49="","",ROUND($B49*(1+$F49*$D49),0))</f>
        <v/>
      </c>
      <c r="I49" s="43"/>
      <c r="J49" s="44"/>
      <c r="K49" s="44"/>
      <c r="L49" s="47" t="str">
        <f aca="false">IF($B49="","",IF($J49="да",IF(AND($K49&lt;&gt;"",$K49&gt;$G49),"погашен с просрочкой",""),IF(ИНФА!$F$5&gt;$G49,"ПРОСРОЧКА","")))</f>
        <v/>
      </c>
      <c r="M49" s="38" t="str">
        <f aca="false">IF($B49="","",IF($L49="",0,ROUND($H49*ИНФА!$F$11,0)))</f>
        <v/>
      </c>
      <c r="N49" s="38" t="str">
        <f aca="false">IF($B49="","",IF($J49="да",0,$H49-N($I49)+$M49))</f>
        <v/>
      </c>
      <c r="O49" s="38" t="str">
        <f aca="false">IF($B49="","",IF($J49="да",$H49-N($I49)+$M49,0))</f>
        <v/>
      </c>
      <c r="P49" s="38" t="str">
        <f aca="false">IF($A49="","",SUMIFS($B$22:$B$61,$A$22:$A$61,$A49,$J$22:$J$61,"&lt;&gt;да"))</f>
        <v/>
      </c>
      <c r="Q49" s="47" t="str">
        <f aca="false">IF($A49="","",IF($P49&gt;ИНФА!$F$10,"превышен лимит! ","")&amp;IF(AND($R49&lt;&gt;"",$R49=$A49),"поручитель — другая компания! ",""))</f>
        <v/>
      </c>
      <c r="R49" s="44"/>
      <c r="S49" s="38" t="str">
        <f aca="false">IF(OR($B49="",$R49=""),"",IF(AND($J49="да",$L49="",$R49&lt;&gt;$A49),ИНФА!$F$32,0))</f>
        <v/>
      </c>
      <c r="U49" s="44"/>
      <c r="V49" s="44"/>
      <c r="W49" s="44"/>
      <c r="X49" s="43"/>
      <c r="Y49" s="44"/>
      <c r="Z49" s="44"/>
    </row>
    <row r="50" customFormat="false" ht="15" hidden="false" customHeight="false" outlineLevel="0" collapsed="false">
      <c r="A50" s="44"/>
      <c r="B50" s="43"/>
      <c r="C50" s="44"/>
      <c r="D50" s="44"/>
      <c r="E50" s="45"/>
      <c r="F50" s="46" t="str">
        <f aca="false">IF($B50="","",IF($E50="",ИНФА!$F$9,$E50))</f>
        <v/>
      </c>
      <c r="G50" s="37" t="str">
        <f aca="false">IF($B50="","",$C50+$D50)</f>
        <v/>
      </c>
      <c r="H50" s="38" t="str">
        <f aca="false">IF($B50="","",ROUND($B50*(1+$F50*$D50),0))</f>
        <v/>
      </c>
      <c r="I50" s="43"/>
      <c r="J50" s="44"/>
      <c r="K50" s="44"/>
      <c r="L50" s="47" t="str">
        <f aca="false">IF($B50="","",IF($J50="да",IF(AND($K50&lt;&gt;"",$K50&gt;$G50),"погашен с просрочкой",""),IF(ИНФА!$F$5&gt;$G50,"ПРОСРОЧКА","")))</f>
        <v/>
      </c>
      <c r="M50" s="38" t="str">
        <f aca="false">IF($B50="","",IF($L50="",0,ROUND($H50*ИНФА!$F$11,0)))</f>
        <v/>
      </c>
      <c r="N50" s="38" t="str">
        <f aca="false">IF($B50="","",IF($J50="да",0,$H50-N($I50)+$M50))</f>
        <v/>
      </c>
      <c r="O50" s="38" t="str">
        <f aca="false">IF($B50="","",IF($J50="да",$H50-N($I50)+$M50,0))</f>
        <v/>
      </c>
      <c r="P50" s="38" t="str">
        <f aca="false">IF($A50="","",SUMIFS($B$22:$B$61,$A$22:$A$61,$A50,$J$22:$J$61,"&lt;&gt;да"))</f>
        <v/>
      </c>
      <c r="Q50" s="47" t="str">
        <f aca="false">IF($A50="","",IF($P50&gt;ИНФА!$F$10,"превышен лимит! ","")&amp;IF(AND($R50&lt;&gt;"",$R50=$A50),"поручитель — другая компания! ",""))</f>
        <v/>
      </c>
      <c r="R50" s="44"/>
      <c r="S50" s="38" t="str">
        <f aca="false">IF(OR($B50="",$R50=""),"",IF(AND($J50="да",$L50="",$R50&lt;&gt;$A50),ИНФА!$F$32,0))</f>
        <v/>
      </c>
      <c r="U50" s="44"/>
      <c r="V50" s="44"/>
      <c r="W50" s="44"/>
      <c r="X50" s="43"/>
      <c r="Y50" s="44"/>
      <c r="Z50" s="44"/>
    </row>
    <row r="51" customFormat="false" ht="15" hidden="false" customHeight="false" outlineLevel="0" collapsed="false">
      <c r="A51" s="44"/>
      <c r="B51" s="43"/>
      <c r="C51" s="44"/>
      <c r="D51" s="44"/>
      <c r="E51" s="45"/>
      <c r="F51" s="46" t="str">
        <f aca="false">IF($B51="","",IF($E51="",ИНФА!$F$9,$E51))</f>
        <v/>
      </c>
      <c r="G51" s="37" t="str">
        <f aca="false">IF($B51="","",$C51+$D51)</f>
        <v/>
      </c>
      <c r="H51" s="38" t="str">
        <f aca="false">IF($B51="","",ROUND($B51*(1+$F51*$D51),0))</f>
        <v/>
      </c>
      <c r="I51" s="43"/>
      <c r="J51" s="44"/>
      <c r="K51" s="44"/>
      <c r="L51" s="47" t="str">
        <f aca="false">IF($B51="","",IF($J51="да",IF(AND($K51&lt;&gt;"",$K51&gt;$G51),"погашен с просрочкой",""),IF(ИНФА!$F$5&gt;$G51,"ПРОСРОЧКА","")))</f>
        <v/>
      </c>
      <c r="M51" s="38" t="str">
        <f aca="false">IF($B51="","",IF($L51="",0,ROUND($H51*ИНФА!$F$11,0)))</f>
        <v/>
      </c>
      <c r="N51" s="38" t="str">
        <f aca="false">IF($B51="","",IF($J51="да",0,$H51-N($I51)+$M51))</f>
        <v/>
      </c>
      <c r="O51" s="38" t="str">
        <f aca="false">IF($B51="","",IF($J51="да",$H51-N($I51)+$M51,0))</f>
        <v/>
      </c>
      <c r="P51" s="38" t="str">
        <f aca="false">IF($A51="","",SUMIFS($B$22:$B$61,$A$22:$A$61,$A51,$J$22:$J$61,"&lt;&gt;да"))</f>
        <v/>
      </c>
      <c r="Q51" s="47" t="str">
        <f aca="false">IF($A51="","",IF($P51&gt;ИНФА!$F$10,"превышен лимит! ","")&amp;IF(AND($R51&lt;&gt;"",$R51=$A51),"поручитель — другая компания! ",""))</f>
        <v/>
      </c>
      <c r="R51" s="44"/>
      <c r="S51" s="38" t="str">
        <f aca="false">IF(OR($B51="",$R51=""),"",IF(AND($J51="да",$L51="",$R51&lt;&gt;$A51),ИНФА!$F$32,0))</f>
        <v/>
      </c>
      <c r="U51" s="44"/>
      <c r="V51" s="44"/>
      <c r="W51" s="44"/>
      <c r="X51" s="43"/>
      <c r="Y51" s="44"/>
      <c r="Z51" s="44"/>
    </row>
    <row r="52" customFormat="false" ht="15" hidden="false" customHeight="false" outlineLevel="0" collapsed="false">
      <c r="A52" s="44"/>
      <c r="B52" s="43"/>
      <c r="C52" s="44"/>
      <c r="D52" s="44"/>
      <c r="E52" s="45"/>
      <c r="F52" s="46" t="str">
        <f aca="false">IF($B52="","",IF($E52="",ИНФА!$F$9,$E52))</f>
        <v/>
      </c>
      <c r="G52" s="37" t="str">
        <f aca="false">IF($B52="","",$C52+$D52)</f>
        <v/>
      </c>
      <c r="H52" s="38" t="str">
        <f aca="false">IF($B52="","",ROUND($B52*(1+$F52*$D52),0))</f>
        <v/>
      </c>
      <c r="I52" s="43"/>
      <c r="J52" s="44"/>
      <c r="K52" s="44"/>
      <c r="L52" s="47" t="str">
        <f aca="false">IF($B52="","",IF($J52="да",IF(AND($K52&lt;&gt;"",$K52&gt;$G52),"погашен с просрочкой",""),IF(ИНФА!$F$5&gt;$G52,"ПРОСРОЧКА","")))</f>
        <v/>
      </c>
      <c r="M52" s="38" t="str">
        <f aca="false">IF($B52="","",IF($L52="",0,ROUND($H52*ИНФА!$F$11,0)))</f>
        <v/>
      </c>
      <c r="N52" s="38" t="str">
        <f aca="false">IF($B52="","",IF($J52="да",0,$H52-N($I52)+$M52))</f>
        <v/>
      </c>
      <c r="O52" s="38" t="str">
        <f aca="false">IF($B52="","",IF($J52="да",$H52-N($I52)+$M52,0))</f>
        <v/>
      </c>
      <c r="P52" s="38" t="str">
        <f aca="false">IF($A52="","",SUMIFS($B$22:$B$61,$A$22:$A$61,$A52,$J$22:$J$61,"&lt;&gt;да"))</f>
        <v/>
      </c>
      <c r="Q52" s="47" t="str">
        <f aca="false">IF($A52="","",IF($P52&gt;ИНФА!$F$10,"превышен лимит! ","")&amp;IF(AND($R52&lt;&gt;"",$R52=$A52),"поручитель — другая компания! ",""))</f>
        <v/>
      </c>
      <c r="R52" s="44"/>
      <c r="S52" s="38" t="str">
        <f aca="false">IF(OR($B52="",$R52=""),"",IF(AND($J52="да",$L52="",$R52&lt;&gt;$A52),ИНФА!$F$32,0))</f>
        <v/>
      </c>
      <c r="U52" s="44"/>
      <c r="V52" s="44"/>
      <c r="W52" s="44"/>
      <c r="X52" s="43"/>
      <c r="Y52" s="44"/>
      <c r="Z52" s="44"/>
    </row>
    <row r="53" customFormat="false" ht="15" hidden="false" customHeight="false" outlineLevel="0" collapsed="false">
      <c r="A53" s="44"/>
      <c r="B53" s="43"/>
      <c r="C53" s="44"/>
      <c r="D53" s="44"/>
      <c r="E53" s="45"/>
      <c r="F53" s="46" t="str">
        <f aca="false">IF($B53="","",IF($E53="",ИНФА!$F$9,$E53))</f>
        <v/>
      </c>
      <c r="G53" s="37" t="str">
        <f aca="false">IF($B53="","",$C53+$D53)</f>
        <v/>
      </c>
      <c r="H53" s="38" t="str">
        <f aca="false">IF($B53="","",ROUND($B53*(1+$F53*$D53),0))</f>
        <v/>
      </c>
      <c r="I53" s="43"/>
      <c r="J53" s="44"/>
      <c r="K53" s="44"/>
      <c r="L53" s="47" t="str">
        <f aca="false">IF($B53="","",IF($J53="да",IF(AND($K53&lt;&gt;"",$K53&gt;$G53),"погашен с просрочкой",""),IF(ИНФА!$F$5&gt;$G53,"ПРОСРОЧКА","")))</f>
        <v/>
      </c>
      <c r="M53" s="38" t="str">
        <f aca="false">IF($B53="","",IF($L53="",0,ROUND($H53*ИНФА!$F$11,0)))</f>
        <v/>
      </c>
      <c r="N53" s="38" t="str">
        <f aca="false">IF($B53="","",IF($J53="да",0,$H53-N($I53)+$M53))</f>
        <v/>
      </c>
      <c r="O53" s="38" t="str">
        <f aca="false">IF($B53="","",IF($J53="да",$H53-N($I53)+$M53,0))</f>
        <v/>
      </c>
      <c r="P53" s="38" t="str">
        <f aca="false">IF($A53="","",SUMIFS($B$22:$B$61,$A$22:$A$61,$A53,$J$22:$J$61,"&lt;&gt;да"))</f>
        <v/>
      </c>
      <c r="Q53" s="47" t="str">
        <f aca="false">IF($A53="","",IF($P53&gt;ИНФА!$F$10,"превышен лимит! ","")&amp;IF(AND($R53&lt;&gt;"",$R53=$A53),"поручитель — другая компания! ",""))</f>
        <v/>
      </c>
      <c r="R53" s="44"/>
      <c r="S53" s="38" t="str">
        <f aca="false">IF(OR($B53="",$R53=""),"",IF(AND($J53="да",$L53="",$R53&lt;&gt;$A53),ИНФА!$F$32,0))</f>
        <v/>
      </c>
      <c r="U53" s="44"/>
      <c r="V53" s="44"/>
      <c r="W53" s="44"/>
      <c r="X53" s="43"/>
      <c r="Y53" s="44"/>
      <c r="Z53" s="44"/>
    </row>
    <row r="54" customFormat="false" ht="15" hidden="false" customHeight="false" outlineLevel="0" collapsed="false">
      <c r="A54" s="44"/>
      <c r="B54" s="43"/>
      <c r="C54" s="44"/>
      <c r="D54" s="44"/>
      <c r="E54" s="45"/>
      <c r="F54" s="46" t="str">
        <f aca="false">IF($B54="","",IF($E54="",ИНФА!$F$9,$E54))</f>
        <v/>
      </c>
      <c r="G54" s="37" t="str">
        <f aca="false">IF($B54="","",$C54+$D54)</f>
        <v/>
      </c>
      <c r="H54" s="38" t="str">
        <f aca="false">IF($B54="","",ROUND($B54*(1+$F54*$D54),0))</f>
        <v/>
      </c>
      <c r="I54" s="43"/>
      <c r="J54" s="44"/>
      <c r="K54" s="44"/>
      <c r="L54" s="47" t="str">
        <f aca="false">IF($B54="","",IF($J54="да",IF(AND($K54&lt;&gt;"",$K54&gt;$G54),"погашен с просрочкой",""),IF(ИНФА!$F$5&gt;$G54,"ПРОСРОЧКА","")))</f>
        <v/>
      </c>
      <c r="M54" s="38" t="str">
        <f aca="false">IF($B54="","",IF($L54="",0,ROUND($H54*ИНФА!$F$11,0)))</f>
        <v/>
      </c>
      <c r="N54" s="38" t="str">
        <f aca="false">IF($B54="","",IF($J54="да",0,$H54-N($I54)+$M54))</f>
        <v/>
      </c>
      <c r="O54" s="38" t="str">
        <f aca="false">IF($B54="","",IF($J54="да",$H54-N($I54)+$M54,0))</f>
        <v/>
      </c>
      <c r="P54" s="38" t="str">
        <f aca="false">IF($A54="","",SUMIFS($B$22:$B$61,$A$22:$A$61,$A54,$J$22:$J$61,"&lt;&gt;да"))</f>
        <v/>
      </c>
      <c r="Q54" s="47" t="str">
        <f aca="false">IF($A54="","",IF($P54&gt;ИНФА!$F$10,"превышен лимит! ","")&amp;IF(AND($R54&lt;&gt;"",$R54=$A54),"поручитель — другая компания! ",""))</f>
        <v/>
      </c>
      <c r="R54" s="44"/>
      <c r="S54" s="38" t="str">
        <f aca="false">IF(OR($B54="",$R54=""),"",IF(AND($J54="да",$L54="",$R54&lt;&gt;$A54),ИНФА!$F$32,0))</f>
        <v/>
      </c>
      <c r="U54" s="44"/>
      <c r="V54" s="44"/>
      <c r="W54" s="44"/>
      <c r="X54" s="43"/>
      <c r="Y54" s="44"/>
      <c r="Z54" s="44"/>
    </row>
    <row r="55" customFormat="false" ht="15" hidden="false" customHeight="false" outlineLevel="0" collapsed="false">
      <c r="A55" s="44"/>
      <c r="B55" s="43"/>
      <c r="C55" s="44"/>
      <c r="D55" s="44"/>
      <c r="E55" s="45"/>
      <c r="F55" s="46" t="str">
        <f aca="false">IF($B55="","",IF($E55="",ИНФА!$F$9,$E55))</f>
        <v/>
      </c>
      <c r="G55" s="37" t="str">
        <f aca="false">IF($B55="","",$C55+$D55)</f>
        <v/>
      </c>
      <c r="H55" s="38" t="str">
        <f aca="false">IF($B55="","",ROUND($B55*(1+$F55*$D55),0))</f>
        <v/>
      </c>
      <c r="I55" s="43"/>
      <c r="J55" s="44"/>
      <c r="K55" s="44"/>
      <c r="L55" s="47" t="str">
        <f aca="false">IF($B55="","",IF($J55="да",IF(AND($K55&lt;&gt;"",$K55&gt;$G55),"погашен с просрочкой",""),IF(ИНФА!$F$5&gt;$G55,"ПРОСРОЧКА","")))</f>
        <v/>
      </c>
      <c r="M55" s="38" t="str">
        <f aca="false">IF($B55="","",IF($L55="",0,ROUND($H55*ИНФА!$F$11,0)))</f>
        <v/>
      </c>
      <c r="N55" s="38" t="str">
        <f aca="false">IF($B55="","",IF($J55="да",0,$H55-N($I55)+$M55))</f>
        <v/>
      </c>
      <c r="O55" s="38" t="str">
        <f aca="false">IF($B55="","",IF($J55="да",$H55-N($I55)+$M55,0))</f>
        <v/>
      </c>
      <c r="P55" s="38" t="str">
        <f aca="false">IF($A55="","",SUMIFS($B$22:$B$61,$A$22:$A$61,$A55,$J$22:$J$61,"&lt;&gt;да"))</f>
        <v/>
      </c>
      <c r="Q55" s="47" t="str">
        <f aca="false">IF($A55="","",IF($P55&gt;ИНФА!$F$10,"превышен лимит! ","")&amp;IF(AND($R55&lt;&gt;"",$R55=$A55),"поручитель — другая компания! ",""))</f>
        <v/>
      </c>
      <c r="R55" s="44"/>
      <c r="S55" s="38" t="str">
        <f aca="false">IF(OR($B55="",$R55=""),"",IF(AND($J55="да",$L55="",$R55&lt;&gt;$A55),ИНФА!$F$32,0))</f>
        <v/>
      </c>
      <c r="U55" s="44"/>
      <c r="V55" s="44"/>
      <c r="W55" s="44"/>
      <c r="X55" s="43"/>
      <c r="Y55" s="44"/>
      <c r="Z55" s="44"/>
    </row>
    <row r="56" customFormat="false" ht="15" hidden="false" customHeight="false" outlineLevel="0" collapsed="false">
      <c r="A56" s="44"/>
      <c r="B56" s="43"/>
      <c r="C56" s="44"/>
      <c r="D56" s="44"/>
      <c r="E56" s="45"/>
      <c r="F56" s="46" t="str">
        <f aca="false">IF($B56="","",IF($E56="",ИНФА!$F$9,$E56))</f>
        <v/>
      </c>
      <c r="G56" s="37" t="str">
        <f aca="false">IF($B56="","",$C56+$D56)</f>
        <v/>
      </c>
      <c r="H56" s="38" t="str">
        <f aca="false">IF($B56="","",ROUND($B56*(1+$F56*$D56),0))</f>
        <v/>
      </c>
      <c r="I56" s="43"/>
      <c r="J56" s="44"/>
      <c r="K56" s="44"/>
      <c r="L56" s="47" t="str">
        <f aca="false">IF($B56="","",IF($J56="да",IF(AND($K56&lt;&gt;"",$K56&gt;$G56),"погашен с просрочкой",""),IF(ИНФА!$F$5&gt;$G56,"ПРОСРОЧКА","")))</f>
        <v/>
      </c>
      <c r="M56" s="38" t="str">
        <f aca="false">IF($B56="","",IF($L56="",0,ROUND($H56*ИНФА!$F$11,0)))</f>
        <v/>
      </c>
      <c r="N56" s="38" t="str">
        <f aca="false">IF($B56="","",IF($J56="да",0,$H56-N($I56)+$M56))</f>
        <v/>
      </c>
      <c r="O56" s="38" t="str">
        <f aca="false">IF($B56="","",IF($J56="да",$H56-N($I56)+$M56,0))</f>
        <v/>
      </c>
      <c r="P56" s="38" t="str">
        <f aca="false">IF($A56="","",SUMIFS($B$22:$B$61,$A$22:$A$61,$A56,$J$22:$J$61,"&lt;&gt;да"))</f>
        <v/>
      </c>
      <c r="Q56" s="47" t="str">
        <f aca="false">IF($A56="","",IF($P56&gt;ИНФА!$F$10,"превышен лимит! ","")&amp;IF(AND($R56&lt;&gt;"",$R56=$A56),"поручитель — другая компания! ",""))</f>
        <v/>
      </c>
      <c r="R56" s="44"/>
      <c r="S56" s="38" t="str">
        <f aca="false">IF(OR($B56="",$R56=""),"",IF(AND($J56="да",$L56="",$R56&lt;&gt;$A56),ИНФА!$F$32,0))</f>
        <v/>
      </c>
      <c r="U56" s="44"/>
      <c r="V56" s="44"/>
      <c r="W56" s="44"/>
      <c r="X56" s="43"/>
      <c r="Y56" s="44"/>
      <c r="Z56" s="44"/>
    </row>
    <row r="57" customFormat="false" ht="15" hidden="false" customHeight="false" outlineLevel="0" collapsed="false">
      <c r="A57" s="44"/>
      <c r="B57" s="43"/>
      <c r="C57" s="44"/>
      <c r="D57" s="44"/>
      <c r="E57" s="45"/>
      <c r="F57" s="46" t="str">
        <f aca="false">IF($B57="","",IF($E57="",ИНФА!$F$9,$E57))</f>
        <v/>
      </c>
      <c r="G57" s="37" t="str">
        <f aca="false">IF($B57="","",$C57+$D57)</f>
        <v/>
      </c>
      <c r="H57" s="38" t="str">
        <f aca="false">IF($B57="","",ROUND($B57*(1+$F57*$D57),0))</f>
        <v/>
      </c>
      <c r="I57" s="43"/>
      <c r="J57" s="44"/>
      <c r="K57" s="44"/>
      <c r="L57" s="47" t="str">
        <f aca="false">IF($B57="","",IF($J57="да",IF(AND($K57&lt;&gt;"",$K57&gt;$G57),"погашен с просрочкой",""),IF(ИНФА!$F$5&gt;$G57,"ПРОСРОЧКА","")))</f>
        <v/>
      </c>
      <c r="M57" s="38" t="str">
        <f aca="false">IF($B57="","",IF($L57="",0,ROUND($H57*ИНФА!$F$11,0)))</f>
        <v/>
      </c>
      <c r="N57" s="38" t="str">
        <f aca="false">IF($B57="","",IF($J57="да",0,$H57-N($I57)+$M57))</f>
        <v/>
      </c>
      <c r="O57" s="38" t="str">
        <f aca="false">IF($B57="","",IF($J57="да",$H57-N($I57)+$M57,0))</f>
        <v/>
      </c>
      <c r="P57" s="38" t="str">
        <f aca="false">IF($A57="","",SUMIFS($B$22:$B$61,$A$22:$A$61,$A57,$J$22:$J$61,"&lt;&gt;да"))</f>
        <v/>
      </c>
      <c r="Q57" s="47" t="str">
        <f aca="false">IF($A57="","",IF($P57&gt;ИНФА!$F$10,"превышен лимит! ","")&amp;IF(AND($R57&lt;&gt;"",$R57=$A57),"поручитель — другая компания! ",""))</f>
        <v/>
      </c>
      <c r="R57" s="44"/>
      <c r="S57" s="38" t="str">
        <f aca="false">IF(OR($B57="",$R57=""),"",IF(AND($J57="да",$L57="",$R57&lt;&gt;$A57),ИНФА!$F$32,0))</f>
        <v/>
      </c>
      <c r="U57" s="44"/>
      <c r="V57" s="44"/>
      <c r="W57" s="44"/>
      <c r="X57" s="43"/>
      <c r="Y57" s="44"/>
      <c r="Z57" s="44"/>
    </row>
    <row r="58" customFormat="false" ht="15" hidden="false" customHeight="false" outlineLevel="0" collapsed="false">
      <c r="A58" s="44"/>
      <c r="B58" s="43"/>
      <c r="C58" s="44"/>
      <c r="D58" s="44"/>
      <c r="E58" s="45"/>
      <c r="F58" s="46" t="str">
        <f aca="false">IF($B58="","",IF($E58="",ИНФА!$F$9,$E58))</f>
        <v/>
      </c>
      <c r="G58" s="37" t="str">
        <f aca="false">IF($B58="","",$C58+$D58)</f>
        <v/>
      </c>
      <c r="H58" s="38" t="str">
        <f aca="false">IF($B58="","",ROUND($B58*(1+$F58*$D58),0))</f>
        <v/>
      </c>
      <c r="I58" s="43"/>
      <c r="J58" s="44"/>
      <c r="K58" s="44"/>
      <c r="L58" s="47" t="str">
        <f aca="false">IF($B58="","",IF($J58="да",IF(AND($K58&lt;&gt;"",$K58&gt;$G58),"погашен с просрочкой",""),IF(ИНФА!$F$5&gt;$G58,"ПРОСРОЧКА","")))</f>
        <v/>
      </c>
      <c r="M58" s="38" t="str">
        <f aca="false">IF($B58="","",IF($L58="",0,ROUND($H58*ИНФА!$F$11,0)))</f>
        <v/>
      </c>
      <c r="N58" s="38" t="str">
        <f aca="false">IF($B58="","",IF($J58="да",0,$H58-N($I58)+$M58))</f>
        <v/>
      </c>
      <c r="O58" s="38" t="str">
        <f aca="false">IF($B58="","",IF($J58="да",$H58-N($I58)+$M58,0))</f>
        <v/>
      </c>
      <c r="P58" s="38" t="str">
        <f aca="false">IF($A58="","",SUMIFS($B$22:$B$61,$A$22:$A$61,$A58,$J$22:$J$61,"&lt;&gt;да"))</f>
        <v/>
      </c>
      <c r="Q58" s="47" t="str">
        <f aca="false">IF($A58="","",IF($P58&gt;ИНФА!$F$10,"превышен лимит! ","")&amp;IF(AND($R58&lt;&gt;"",$R58=$A58),"поручитель — другая компания! ",""))</f>
        <v/>
      </c>
      <c r="R58" s="44"/>
      <c r="S58" s="38" t="str">
        <f aca="false">IF(OR($B58="",$R58=""),"",IF(AND($J58="да",$L58="",$R58&lt;&gt;$A58),ИНФА!$F$32,0))</f>
        <v/>
      </c>
      <c r="U58" s="44"/>
      <c r="V58" s="44"/>
      <c r="W58" s="44"/>
      <c r="X58" s="43"/>
      <c r="Y58" s="44"/>
      <c r="Z58" s="44"/>
    </row>
    <row r="59" customFormat="false" ht="15" hidden="false" customHeight="false" outlineLevel="0" collapsed="false">
      <c r="A59" s="44"/>
      <c r="B59" s="43"/>
      <c r="C59" s="44"/>
      <c r="D59" s="44"/>
      <c r="E59" s="45"/>
      <c r="F59" s="46" t="str">
        <f aca="false">IF($B59="","",IF($E59="",ИНФА!$F$9,$E59))</f>
        <v/>
      </c>
      <c r="G59" s="37" t="str">
        <f aca="false">IF($B59="","",$C59+$D59)</f>
        <v/>
      </c>
      <c r="H59" s="38" t="str">
        <f aca="false">IF($B59="","",ROUND($B59*(1+$F59*$D59),0))</f>
        <v/>
      </c>
      <c r="I59" s="43"/>
      <c r="J59" s="44"/>
      <c r="K59" s="44"/>
      <c r="L59" s="47" t="str">
        <f aca="false">IF($B59="","",IF($J59="да",IF(AND($K59&lt;&gt;"",$K59&gt;$G59),"погашен с просрочкой",""),IF(ИНФА!$F$5&gt;$G59,"ПРОСРОЧКА","")))</f>
        <v/>
      </c>
      <c r="M59" s="38" t="str">
        <f aca="false">IF($B59="","",IF($L59="",0,ROUND($H59*ИНФА!$F$11,0)))</f>
        <v/>
      </c>
      <c r="N59" s="38" t="str">
        <f aca="false">IF($B59="","",IF($J59="да",0,$H59-N($I59)+$M59))</f>
        <v/>
      </c>
      <c r="O59" s="38" t="str">
        <f aca="false">IF($B59="","",IF($J59="да",$H59-N($I59)+$M59,0))</f>
        <v/>
      </c>
      <c r="P59" s="38" t="str">
        <f aca="false">IF($A59="","",SUMIFS($B$22:$B$61,$A$22:$A$61,$A59,$J$22:$J$61,"&lt;&gt;да"))</f>
        <v/>
      </c>
      <c r="Q59" s="47" t="str">
        <f aca="false">IF($A59="","",IF($P59&gt;ИНФА!$F$10,"превышен лимит! ","")&amp;IF(AND($R59&lt;&gt;"",$R59=$A59),"поручитель — другая компания! ",""))</f>
        <v/>
      </c>
      <c r="R59" s="44"/>
      <c r="S59" s="38" t="str">
        <f aca="false">IF(OR($B59="",$R59=""),"",IF(AND($J59="да",$L59="",$R59&lt;&gt;$A59),ИНФА!$F$32,0))</f>
        <v/>
      </c>
      <c r="U59" s="44"/>
      <c r="V59" s="44"/>
      <c r="W59" s="44"/>
      <c r="X59" s="43"/>
      <c r="Y59" s="44"/>
      <c r="Z59" s="44"/>
    </row>
    <row r="60" customFormat="false" ht="15" hidden="false" customHeight="false" outlineLevel="0" collapsed="false">
      <c r="A60" s="44"/>
      <c r="B60" s="43"/>
      <c r="C60" s="44"/>
      <c r="D60" s="44"/>
      <c r="E60" s="45"/>
      <c r="F60" s="46" t="str">
        <f aca="false">IF($B60="","",IF($E60="",ИНФА!$F$9,$E60))</f>
        <v/>
      </c>
      <c r="G60" s="37" t="str">
        <f aca="false">IF($B60="","",$C60+$D60)</f>
        <v/>
      </c>
      <c r="H60" s="38" t="str">
        <f aca="false">IF($B60="","",ROUND($B60*(1+$F60*$D60),0))</f>
        <v/>
      </c>
      <c r="I60" s="43"/>
      <c r="J60" s="44"/>
      <c r="K60" s="44"/>
      <c r="L60" s="47" t="str">
        <f aca="false">IF($B60="","",IF($J60="да",IF(AND($K60&lt;&gt;"",$K60&gt;$G60),"погашен с просрочкой",""),IF(ИНФА!$F$5&gt;$G60,"ПРОСРОЧКА","")))</f>
        <v/>
      </c>
      <c r="M60" s="38" t="str">
        <f aca="false">IF($B60="","",IF($L60="",0,ROUND($H60*ИНФА!$F$11,0)))</f>
        <v/>
      </c>
      <c r="N60" s="38" t="str">
        <f aca="false">IF($B60="","",IF($J60="да",0,$H60-N($I60)+$M60))</f>
        <v/>
      </c>
      <c r="O60" s="38" t="str">
        <f aca="false">IF($B60="","",IF($J60="да",$H60-N($I60)+$M60,0))</f>
        <v/>
      </c>
      <c r="P60" s="38" t="str">
        <f aca="false">IF($A60="","",SUMIFS($B$22:$B$61,$A$22:$A$61,$A60,$J$22:$J$61,"&lt;&gt;да"))</f>
        <v/>
      </c>
      <c r="Q60" s="47" t="str">
        <f aca="false">IF($A60="","",IF($P60&gt;ИНФА!$F$10,"превышен лимит! ","")&amp;IF(AND($R60&lt;&gt;"",$R60=$A60),"поручитель — другая компания! ",""))</f>
        <v/>
      </c>
      <c r="R60" s="44"/>
      <c r="S60" s="38" t="str">
        <f aca="false">IF(OR($B60="",$R60=""),"",IF(AND($J60="да",$L60="",$R60&lt;&gt;$A60),ИНФА!$F$32,0))</f>
        <v/>
      </c>
      <c r="U60" s="44"/>
      <c r="V60" s="44"/>
      <c r="W60" s="44"/>
      <c r="X60" s="43"/>
      <c r="Y60" s="44"/>
      <c r="Z60" s="44"/>
    </row>
    <row r="61" customFormat="false" ht="15" hidden="false" customHeight="false" outlineLevel="0" collapsed="false">
      <c r="A61" s="44"/>
      <c r="B61" s="43"/>
      <c r="C61" s="44"/>
      <c r="D61" s="44"/>
      <c r="E61" s="45"/>
      <c r="F61" s="46" t="str">
        <f aca="false">IF($B61="","",IF($E61="",ИНФА!$F$9,$E61))</f>
        <v/>
      </c>
      <c r="G61" s="37" t="str">
        <f aca="false">IF($B61="","",$C61+$D61)</f>
        <v/>
      </c>
      <c r="H61" s="38" t="str">
        <f aca="false">IF($B61="","",ROUND($B61*(1+$F61*$D61),0))</f>
        <v/>
      </c>
      <c r="I61" s="43"/>
      <c r="J61" s="44"/>
      <c r="K61" s="44"/>
      <c r="L61" s="47" t="str">
        <f aca="false">IF($B61="","",IF($J61="да",IF(AND($K61&lt;&gt;"",$K61&gt;$G61),"погашен с просрочкой",""),IF(ИНФА!$F$5&gt;$G61,"ПРОСРОЧКА","")))</f>
        <v/>
      </c>
      <c r="M61" s="38" t="str">
        <f aca="false">IF($B61="","",IF($L61="",0,ROUND($H61*ИНФА!$F$11,0)))</f>
        <v/>
      </c>
      <c r="N61" s="38" t="str">
        <f aca="false">IF($B61="","",IF($J61="да",0,$H61-N($I61)+$M61))</f>
        <v/>
      </c>
      <c r="O61" s="38" t="str">
        <f aca="false">IF($B61="","",IF($J61="да",$H61-N($I61)+$M61,0))</f>
        <v/>
      </c>
      <c r="P61" s="38" t="str">
        <f aca="false">IF($A61="","",SUMIFS($B$22:$B$61,$A$22:$A$61,$A61,$J$22:$J$61,"&lt;&gt;да"))</f>
        <v/>
      </c>
      <c r="Q61" s="47" t="str">
        <f aca="false">IF($A61="","",IF($P61&gt;ИНФА!$F$10,"превышен лимит! ","")&amp;IF(AND($R61&lt;&gt;"",$R61=$A61),"поручитель — другая компания! ",""))</f>
        <v/>
      </c>
      <c r="R61" s="44"/>
      <c r="S61" s="38" t="str">
        <f aca="false">IF(OR($B61="",$R61=""),"",IF(AND($J61="да",$L61="",$R61&lt;&gt;$A61),ИНФА!$F$32,0))</f>
        <v/>
      </c>
      <c r="U61" s="44"/>
      <c r="V61" s="44"/>
      <c r="W61" s="44"/>
      <c r="X61" s="43"/>
      <c r="Y61" s="44"/>
      <c r="Z61" s="44"/>
    </row>
    <row r="62" customFormat="false" ht="15" hidden="false" customHeight="false" outlineLevel="0" collapsed="false">
      <c r="U62" s="44"/>
      <c r="V62" s="44"/>
      <c r="W62" s="44"/>
      <c r="X62" s="43"/>
      <c r="Y62" s="44"/>
      <c r="Z62" s="44"/>
    </row>
    <row r="63" customFormat="false" ht="15" hidden="false" customHeight="false" outlineLevel="0" collapsed="false">
      <c r="U63" s="44"/>
      <c r="V63" s="44"/>
      <c r="W63" s="44"/>
      <c r="X63" s="43"/>
      <c r="Y63" s="44"/>
      <c r="Z63" s="44"/>
    </row>
    <row r="64" customFormat="false" ht="15" hidden="false" customHeight="false" outlineLevel="0" collapsed="false">
      <c r="U64" s="44"/>
      <c r="V64" s="44"/>
      <c r="W64" s="44"/>
      <c r="X64" s="43"/>
      <c r="Y64" s="44"/>
      <c r="Z64" s="44"/>
    </row>
    <row r="65" customFormat="false" ht="15" hidden="false" customHeight="false" outlineLevel="0" collapsed="false">
      <c r="U65" s="44"/>
      <c r="V65" s="44"/>
      <c r="W65" s="44"/>
      <c r="X65" s="43"/>
      <c r="Y65" s="44"/>
      <c r="Z65" s="44"/>
    </row>
    <row r="66" customFormat="false" ht="15" hidden="false" customHeight="false" outlineLevel="0" collapsed="false">
      <c r="U66" s="44"/>
      <c r="V66" s="44"/>
      <c r="W66" s="44"/>
      <c r="X66" s="43"/>
      <c r="Y66" s="44"/>
      <c r="Z66" s="44"/>
    </row>
    <row r="67" customFormat="false" ht="15" hidden="false" customHeight="false" outlineLevel="0" collapsed="false">
      <c r="U67" s="44"/>
      <c r="V67" s="44"/>
      <c r="W67" s="44"/>
      <c r="X67" s="43"/>
      <c r="Y67" s="44"/>
      <c r="Z67" s="44"/>
    </row>
    <row r="68" customFormat="false" ht="15" hidden="false" customHeight="false" outlineLevel="0" collapsed="false">
      <c r="U68" s="44"/>
      <c r="V68" s="44"/>
      <c r="W68" s="44"/>
      <c r="X68" s="43"/>
      <c r="Y68" s="44"/>
      <c r="Z68" s="44"/>
    </row>
    <row r="69" customFormat="false" ht="15" hidden="false" customHeight="false" outlineLevel="0" collapsed="false">
      <c r="U69" s="44"/>
      <c r="V69" s="44"/>
      <c r="W69" s="44"/>
      <c r="X69" s="43"/>
      <c r="Y69" s="44"/>
      <c r="Z69" s="44"/>
    </row>
    <row r="70" customFormat="false" ht="15" hidden="false" customHeight="false" outlineLevel="0" collapsed="false">
      <c r="U70" s="44"/>
      <c r="V70" s="44"/>
      <c r="W70" s="44"/>
      <c r="X70" s="43"/>
      <c r="Y70" s="44"/>
      <c r="Z70" s="44"/>
    </row>
    <row r="71" customFormat="false" ht="15" hidden="false" customHeight="false" outlineLevel="0" collapsed="false">
      <c r="U71" s="44"/>
      <c r="V71" s="44"/>
      <c r="W71" s="44"/>
      <c r="X71" s="43"/>
      <c r="Y71" s="44"/>
      <c r="Z71" s="44"/>
    </row>
    <row r="72" customFormat="false" ht="15" hidden="false" customHeight="false" outlineLevel="0" collapsed="false">
      <c r="U72" s="44"/>
      <c r="V72" s="44"/>
      <c r="W72" s="44"/>
      <c r="X72" s="43"/>
      <c r="Y72" s="44"/>
      <c r="Z72" s="44"/>
    </row>
    <row r="73" customFormat="false" ht="15" hidden="false" customHeight="false" outlineLevel="0" collapsed="false">
      <c r="U73" s="44"/>
      <c r="V73" s="44"/>
      <c r="W73" s="44"/>
      <c r="X73" s="43"/>
      <c r="Y73" s="44"/>
      <c r="Z73" s="44"/>
    </row>
    <row r="74" customFormat="false" ht="15" hidden="false" customHeight="false" outlineLevel="0" collapsed="false">
      <c r="U74" s="44"/>
      <c r="V74" s="44"/>
      <c r="W74" s="44"/>
      <c r="X74" s="43"/>
      <c r="Y74" s="44"/>
      <c r="Z74" s="44"/>
    </row>
    <row r="75" customFormat="false" ht="15" hidden="false" customHeight="false" outlineLevel="0" collapsed="false">
      <c r="U75" s="44"/>
      <c r="V75" s="44"/>
      <c r="W75" s="44"/>
      <c r="X75" s="43"/>
      <c r="Y75" s="44"/>
      <c r="Z75" s="44"/>
    </row>
    <row r="76" customFormat="false" ht="15" hidden="false" customHeight="false" outlineLevel="0" collapsed="false">
      <c r="U76" s="44"/>
      <c r="V76" s="44"/>
      <c r="W76" s="44"/>
      <c r="X76" s="43"/>
      <c r="Y76" s="44"/>
      <c r="Z76" s="44"/>
    </row>
    <row r="77" customFormat="false" ht="15" hidden="false" customHeight="false" outlineLevel="0" collapsed="false">
      <c r="U77" s="44"/>
      <c r="V77" s="44"/>
      <c r="W77" s="44"/>
      <c r="X77" s="43"/>
      <c r="Y77" s="44"/>
      <c r="Z77" s="44"/>
    </row>
    <row r="78" customFormat="false" ht="15" hidden="false" customHeight="false" outlineLevel="0" collapsed="false">
      <c r="U78" s="44"/>
      <c r="V78" s="44"/>
      <c r="W78" s="44"/>
      <c r="X78" s="43"/>
      <c r="Y78" s="44"/>
      <c r="Z78" s="44"/>
    </row>
    <row r="79" customFormat="false" ht="15" hidden="false" customHeight="false" outlineLevel="0" collapsed="false">
      <c r="U79" s="44"/>
      <c r="V79" s="44"/>
      <c r="W79" s="44"/>
      <c r="X79" s="43"/>
      <c r="Y79" s="44"/>
      <c r="Z79" s="44"/>
    </row>
    <row r="80" customFormat="false" ht="15" hidden="false" customHeight="false" outlineLevel="0" collapsed="false">
      <c r="U80" s="44"/>
      <c r="V80" s="44"/>
      <c r="W80" s="44"/>
      <c r="X80" s="43"/>
      <c r="Y80" s="44"/>
      <c r="Z80" s="44"/>
    </row>
    <row r="81" customFormat="false" ht="15" hidden="false" customHeight="false" outlineLevel="0" collapsed="false">
      <c r="U81" s="44"/>
      <c r="V81" s="44"/>
      <c r="W81" s="44"/>
      <c r="X81" s="43"/>
      <c r="Y81" s="44"/>
      <c r="Z81" s="44"/>
    </row>
  </sheetData>
  <dataValidations count="8">
    <dataValidation allowBlank="true" error="Целое число от 1 до 10." errorStyle="stop" operator="between" showDropDown="false" showErrorMessage="true" showInputMessage="false" sqref="C22:C61 K22:K61 U22:U81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A22:A61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J22:J61" type="list">
      <formula1>"да,нет"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R22:R61" type="list">
      <formula1>ИНФА!$B$5:$B$16</formula1>
      <formula2>0</formula2>
    </dataValidation>
    <dataValidation allowBlank="true" error="Целое число от 1 до 7." errorStyle="stop" operator="between" showDropDown="false" showErrorMessage="true" showInputMessage="false" sqref="D22:D61" type="whole">
      <formula1>1</formula1>
      <formula2>7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V22:W81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Y22:Y81" type="list">
      <formula1>"Поглощение (здание),Поставка,Найм профессии,Переманивание,Лицензия на патент,Научный аукцион,Совместное предприятие,Другое"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Z22:Z81" type="list">
      <formula1>"да,нет"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AG20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4" min="12" style="0" width="10"/>
    <col collapsed="false" customWidth="true" hidden="false" outlineLevel="0" max="15" min="15" style="0" width="9"/>
    <col collapsed="false" customWidth="true" hidden="false" outlineLevel="0" max="16" min="16" style="0" width="30"/>
    <col collapsed="false" customWidth="true" hidden="false" outlineLevel="0" max="17" min="17" style="0" width="8"/>
    <col collapsed="false" customWidth="true" hidden="false" outlineLevel="0" max="19" min="18" style="0" width="9"/>
    <col collapsed="false" customWidth="true" hidden="false" outlineLevel="0" max="20" min="20" style="0" width="8"/>
    <col collapsed="false" customWidth="true" hidden="false" outlineLevel="0" max="21" min="21" style="0" width="16"/>
    <col collapsed="false" customWidth="true" hidden="false" outlineLevel="0" max="22" min="22" style="0" width="10"/>
    <col collapsed="false" customWidth="true" hidden="false" outlineLevel="0" max="23" min="23" style="0" width="9"/>
    <col collapsed="false" customWidth="true" hidden="false" outlineLevel="0" max="24" min="24" style="0" width="8"/>
    <col collapsed="false" customWidth="true" hidden="false" outlineLevel="0" max="26" min="25" style="0" width="12"/>
    <col collapsed="false" customWidth="true" hidden="false" outlineLevel="0" max="27" min="27" style="0" width="11"/>
    <col collapsed="false" customWidth="true" hidden="false" outlineLevel="0" max="28" min="28" style="0" width="28"/>
    <col collapsed="false" customWidth="true" hidden="false" outlineLevel="0" max="29" min="29" style="0" width="34"/>
    <col collapsed="false" customWidth="true" hidden="false" outlineLevel="0" max="30" min="30" style="0" width="14"/>
    <col collapsed="false" customWidth="true" hidden="false" outlineLevel="0" max="31" min="31" style="0" width="12"/>
    <col collapsed="false" customWidth="true" hidden="false" outlineLevel="0" max="33" min="32" style="0" width="10"/>
  </cols>
  <sheetData>
    <row r="1" customFormat="false" ht="17.35" hidden="false" customHeight="false" outlineLevel="0" collapsed="false">
      <c r="A1" s="8" t="s">
        <v>262</v>
      </c>
    </row>
    <row r="2" customFormat="false" ht="15" hidden="false" customHeight="false" outlineLevel="0" collapsed="false">
      <c r="A2" s="2" t="s">
        <v>263</v>
      </c>
    </row>
    <row r="4" customFormat="false" ht="42" hidden="false" customHeight="true" outlineLevel="0" collapsed="false">
      <c r="A4" s="9" t="s">
        <v>264</v>
      </c>
      <c r="B4" s="9" t="s">
        <v>100</v>
      </c>
      <c r="C4" s="9" t="s">
        <v>105</v>
      </c>
      <c r="D4" s="9" t="s">
        <v>265</v>
      </c>
      <c r="E4" s="9" t="s">
        <v>266</v>
      </c>
      <c r="F4" s="9" t="s">
        <v>267</v>
      </c>
      <c r="G4" s="9" t="s">
        <v>268</v>
      </c>
      <c r="H4" s="9" t="s">
        <v>269</v>
      </c>
      <c r="I4" s="9" t="s">
        <v>270</v>
      </c>
      <c r="J4" s="9" t="s">
        <v>106</v>
      </c>
      <c r="K4" s="9" t="s">
        <v>107</v>
      </c>
      <c r="L4" s="9" t="s">
        <v>111</v>
      </c>
      <c r="M4" s="9" t="s">
        <v>112</v>
      </c>
      <c r="N4" s="9" t="s">
        <v>271</v>
      </c>
      <c r="O4" s="9" t="s">
        <v>272</v>
      </c>
      <c r="P4" s="9" t="s">
        <v>273</v>
      </c>
      <c r="Q4" s="9" t="s">
        <v>274</v>
      </c>
      <c r="R4" s="9" t="s">
        <v>275</v>
      </c>
      <c r="S4" s="9" t="s">
        <v>276</v>
      </c>
      <c r="T4" s="9" t="s">
        <v>277</v>
      </c>
      <c r="U4" s="9" t="s">
        <v>278</v>
      </c>
      <c r="V4" s="9" t="s">
        <v>279</v>
      </c>
      <c r="W4" s="9" t="s">
        <v>280</v>
      </c>
      <c r="X4" s="9" t="s">
        <v>281</v>
      </c>
      <c r="Y4" s="9" t="s">
        <v>226</v>
      </c>
      <c r="Z4" s="9" t="s">
        <v>282</v>
      </c>
      <c r="AA4" s="9" t="s">
        <v>283</v>
      </c>
      <c r="AB4" s="9" t="s">
        <v>284</v>
      </c>
      <c r="AC4" s="9" t="s">
        <v>254</v>
      </c>
      <c r="AD4" s="9" t="s">
        <v>285</v>
      </c>
      <c r="AE4" s="9" t="s">
        <v>286</v>
      </c>
      <c r="AF4" s="9" t="s">
        <v>173</v>
      </c>
      <c r="AG4" s="9" t="s">
        <v>202</v>
      </c>
    </row>
    <row r="5" customFormat="false" ht="15" hidden="false" customHeight="false" outlineLevel="0" collapsed="false">
      <c r="A5" s="15" t="n">
        <v>1</v>
      </c>
      <c r="B5" s="44"/>
      <c r="C5" s="44"/>
      <c r="D5" s="44"/>
      <c r="E5" s="44"/>
      <c r="F5" s="43"/>
      <c r="G5" s="38" t="str">
        <f aca="false">IF($C5="","",IF($F5&lt;&gt;"",$F5,INDEX(ИНФА!$M$5:$M$19,MATCH($C5,ИНФА!$I$5:$I$19,0))))</f>
        <v/>
      </c>
      <c r="H5" s="43"/>
      <c r="I5" s="38" t="str">
        <f aca="false">IF($C5="","",G5-N(H5))</f>
        <v/>
      </c>
      <c r="J5" s="37" t="str">
        <f aca="false">IF($C5="","",INDEX(ИНФА!$J$5:$J$19,MATCH($C5,ИНФА!$I$5:$I$19,0)))</f>
        <v/>
      </c>
      <c r="K5" s="37" t="str">
        <f aca="false">IF($C5="","",INDEX(ИНФА!$K$5:$K$19,MATCH($C5,ИНФА!$I$5:$I$19,0)))</f>
        <v/>
      </c>
      <c r="L5" s="38" t="str">
        <f aca="false">IF($C5="","",INDEX(ИНФА!$O$5:$O$19,MATCH($C5,ИНФА!$I$5:$I$19,0)))</f>
        <v/>
      </c>
      <c r="M5" s="38" t="str">
        <f aca="false">IF($C5="","",INDEX(ИНФА!$P$5:$P$19,MATCH($C5,ИНФА!$I$5:$I$19,0)))</f>
        <v/>
      </c>
      <c r="N5" s="44"/>
      <c r="O5" s="48" t="n">
        <f aca="false">IF(OR($C5="",$N5=""),1,IF(AND($J5="Услуги",IFERROR(INDEX($C$5:$C$204,MATCH($N5,$A$5:$A$204,0))=INDEX(ИНФА!$L$5:$L$19,MATCH($C5,ИНФА!$I$5:$I$19,0)),FALSE()),IFERROR(INDEX($W$5:$W$204,MATCH($N5,$A$5:$A$204,0))=1,FALSE()),COUNTIF($N$5:$N5,$N5)&lt;=ИНФА!$F$16),1+ИНФА!$F$15,1))</f>
        <v>1</v>
      </c>
      <c r="P5" s="47" t="str">
        <f aca="false">IF($C5="","",IF($J5&lt;&gt;"Услуги","",IF($N5="","нет поставщика — нужен "&amp;INDEX(ИНФА!$L$5:$L$19,MATCH($C5,ИНФА!$I$5:$I$19,0)),IF($O5&gt;1,"✓ поставка работает (+50%)",IF(IFERROR(INDEX($C$5:$C$204,MATCH($N5,$A$5:$A$204,0))&lt;&gt;INDEX(ИНФА!$L$5:$L$19,MATCH($C5,ИНФА!$I$5:$I$19,0)),TRUE()),"не тот поставщик: нужен "&amp;INDEX(ИНФА!$L$5:$L$19,MATCH($C5,ИНФА!$I$5:$I$19,0)),IF(COUNTIF($N$5:$N5,$N5)&gt;ИНФА!$F$16,"поставщик перегружен","поставщик ещё не работает или продан"))))))</f>
        <v/>
      </c>
      <c r="Q5" s="44"/>
      <c r="R5" s="48" t="str">
        <f aca="false">IF($C5="","",IF($Q5="",1,IFERROR(INDEX(НАУКА!$K$5:$K$44,MATCH($Q5,НАУКА!$A$5:$A$44,0)),1)))</f>
        <v/>
      </c>
      <c r="S5" s="37" t="str">
        <f aca="false">IF($Q5="","",IFERROR(INDEX(НАУКА!$G$5:$G$44,MATCH($Q5,НАУКА!$A$5:$A$44,0)),""))</f>
        <v/>
      </c>
      <c r="T5" s="44"/>
      <c r="U5" s="44"/>
      <c r="V5" s="43"/>
      <c r="W5" s="37" t="n">
        <f aca="false">IF(OR($C5="",$D5=""),0,IF(AND($D5&lt;ИНФА!$F$5,OR($T5="",$T5&gt;=ИНФА!$F$5)),1,0))</f>
        <v>0</v>
      </c>
      <c r="X5" s="46" t="str">
        <f aca="false">IF($C5="","",INDEX(СОБЫТИЯ!$B$5:$K$8,MATCH($K5,СОБЫТИЯ!$A$5:$A$8,0),ИНФА!$F$5))</f>
        <v/>
      </c>
      <c r="Y5" s="42" t="str">
        <f aca="false">IF($C5="","",IF($W5=1,ROUND($L5*$O5*IF(AND($Q5&lt;&gt;"",$S5&lt;&gt;""),IF($S5&lt;ИНФА!$F$5,$R5,1),1)*$X5,0)-$M5+N($AF5)+N($AG5),0))</f>
        <v/>
      </c>
      <c r="Z5" s="38" t="str">
        <f aca="false">IF($C5="","",IF($T5="",INDEX(ИНФА!$M$5:$M$19,MATCH($C5,ИНФА!$I$5:$I$19,0)),0))</f>
        <v/>
      </c>
      <c r="AA5" s="38" t="str">
        <f aca="false">IF(OR($C5="",$T5=""),"",IF($V5&lt;&gt;"",$V5,INDEX(ИНФА!$N$5:$N$19,MATCH($C5,ИНФА!$I$5:$I$19,0))))</f>
        <v/>
      </c>
      <c r="AB5" s="37" t="str">
        <f aca="false">IF($C5="","",IF($T5&lt;&gt;"",IF($U5&lt;&gt;"","продано компании "&amp;$U5&amp;" в цикле "&amp;$T5,"продано Инфраструктуре в цикле "&amp;$T5),IF($D5&gt;=ИНФА!$F$5,"доход со следующего цикла","приносит доход")))</f>
        <v/>
      </c>
      <c r="AC5" s="47" t="str">
        <f aca="false">IF($C5="","",IF($F5="","",IF($E5="","укажите продавца; ",IF(OR($F5&lt;INDEX(ИНФА!$N$5:$N$19,MATCH($C5,ИНФА!$I$5:$I$19,0)),$F5&gt;INDEX(ИНФА!$M$5:$M$19,MATCH($C5,ИНФА!$I$5:$I$19,0))),"цена покупки вне коридора! ","")))&amp;IF($U5="","",IF(OR($V5="",$T5=""),"укажите цикл и цену продажи; ",IF(OR($V5&lt;INDEX(ИНФА!$N$5:$N$19,MATCH($C5,ИНФА!$I$5:$I$19,0)),$V5&gt;INDEX(ИНФА!$M$5:$M$19,MATCH($C5,ИНФА!$I$5:$I$19,0))),"цена продажи вне коридора! ","")))&amp;IF(AND($T5="",COUNTIFS($C$5:$C5,$C5,$T$5:$T5,"")&gt;INDEX(ИНФА!$Q$5:$Q$19,MATCH($C5,ИНФА!$I$5:$I$19,0))),"лотов нет! ","")&amp;IF(AND($E5&lt;&gt;"",$F5=""),"укажите цену сделки; ","")&amp;IF(AND(N($H5)&gt;0,OR($AD5="",$AD5="Профессия"),OR($H5&gt;ИНФА!$F$29,$I5&lt;INDEX(ИНФА!$N$5:$N$19,MATCH($C5,ИНФА!$I$5:$I$19,0))+ИНФА!$F$30)),"скидка больше лимита или цена ниже выкупа + 500! ","")&amp;IF($AE5="","",IF(IFERROR(INDEX($B$5:$B$204,MATCH($AE5,$A$5:$A$204,0))=$B5,TRUE()),"бизнес-пара — только со зданием другой компании; ",""))&amp;IF($Q5="","",IF(IFERROR(INDEX(НАУКА!$B$5:$B$44,MATCH($Q5,НАУКА!$A$5:$A$44,0))&lt;&gt;$B5,FALSE()),"патент другой компании — нужна лицензия или соглашение; ","")))</f>
        <v/>
      </c>
      <c r="AD5" s="44"/>
      <c r="AE5" s="44"/>
      <c r="AF5" s="38" t="str">
        <f aca="false">IF($C5="","",IF(AND($W5=1,OR($C5="Дом",$C5="Кафе")),ИНФА!$F$17*(COUNTIFS($B$5:$B5,$B5,$C$5:$C5,$C5,$W$5:$W5,1)&lt;=COUNTIFS($B$5:$B$204,$B5,$C$5:$C$204,"Парк",$W$5:$W$204,1)),0))</f>
        <v/>
      </c>
      <c r="AG5" s="38" t="str">
        <f aca="false">IF($C5="","",IF($W5=1,IF(OR(AND($AE5&lt;&gt;"",IFERROR(INDEX($W$5:$W$204,MATCH($AE5,$A$5:$A$204,0))=1,FALSE()),IFERROR(INDEX($B$5:$B$204,MATCH($AE5,$A$5:$A$204,0))&lt;&gt;$B5,FALSE())),COUNTIFS($AE$5:$AE$204,$A5,$W$5:$W$204,1,$B$5:$B$204,"&lt;&gt;"&amp;$B5)&gt;0),ИНФА!$F$31,0),0))</f>
        <v/>
      </c>
    </row>
    <row r="6" customFormat="false" ht="15" hidden="false" customHeight="false" outlineLevel="0" collapsed="false">
      <c r="A6" s="15" t="n">
        <v>2</v>
      </c>
      <c r="B6" s="44"/>
      <c r="C6" s="44"/>
      <c r="D6" s="44"/>
      <c r="E6" s="44"/>
      <c r="F6" s="43"/>
      <c r="G6" s="38" t="str">
        <f aca="false">IF($C6="","",IF($F6&lt;&gt;"",$F6,INDEX(ИНФА!$M$5:$M$19,MATCH($C6,ИНФА!$I$5:$I$19,0))))</f>
        <v/>
      </c>
      <c r="H6" s="43"/>
      <c r="I6" s="38" t="str">
        <f aca="false">IF($C6="","",G6-N(H6))</f>
        <v/>
      </c>
      <c r="J6" s="37" t="str">
        <f aca="false">IF($C6="","",INDEX(ИНФА!$J$5:$J$19,MATCH($C6,ИНФА!$I$5:$I$19,0)))</f>
        <v/>
      </c>
      <c r="K6" s="37" t="str">
        <f aca="false">IF($C6="","",INDEX(ИНФА!$K$5:$K$19,MATCH($C6,ИНФА!$I$5:$I$19,0)))</f>
        <v/>
      </c>
      <c r="L6" s="38" t="str">
        <f aca="false">IF($C6="","",INDEX(ИНФА!$O$5:$O$19,MATCH($C6,ИНФА!$I$5:$I$19,0)))</f>
        <v/>
      </c>
      <c r="M6" s="38" t="str">
        <f aca="false">IF($C6="","",INDEX(ИНФА!$P$5:$P$19,MATCH($C6,ИНФА!$I$5:$I$19,0)))</f>
        <v/>
      </c>
      <c r="N6" s="44"/>
      <c r="O6" s="48" t="n">
        <f aca="false">IF(OR($C6="",$N6=""),1,IF(AND($J6="Услуги",IFERROR(INDEX($C$5:$C$204,MATCH($N6,$A$5:$A$204,0))=INDEX(ИНФА!$L$5:$L$19,MATCH($C6,ИНФА!$I$5:$I$19,0)),FALSE()),IFERROR(INDEX($W$5:$W$204,MATCH($N6,$A$5:$A$204,0))=1,FALSE()),COUNTIF($N$5:$N6,$N6)&lt;=ИНФА!$F$16),1+ИНФА!$F$15,1))</f>
        <v>1</v>
      </c>
      <c r="P6" s="47" t="str">
        <f aca="false">IF($C6="","",IF($J6&lt;&gt;"Услуги","",IF($N6="","нет поставщика — нужен "&amp;INDEX(ИНФА!$L$5:$L$19,MATCH($C6,ИНФА!$I$5:$I$19,0)),IF($O6&gt;1,"✓ поставка работает (+50%)",IF(IFERROR(INDEX($C$5:$C$204,MATCH($N6,$A$5:$A$204,0))&lt;&gt;INDEX(ИНФА!$L$5:$L$19,MATCH($C6,ИНФА!$I$5:$I$19,0)),TRUE()),"не тот поставщик: нужен "&amp;INDEX(ИНФА!$L$5:$L$19,MATCH($C6,ИНФА!$I$5:$I$19,0)),IF(COUNTIF($N$5:$N6,$N6)&gt;ИНФА!$F$16,"поставщик перегружен","поставщик ещё не работает или продан"))))))</f>
        <v/>
      </c>
      <c r="Q6" s="44"/>
      <c r="R6" s="48" t="str">
        <f aca="false">IF($C6="","",IF($Q6="",1,IFERROR(INDEX(НАУКА!$K$5:$K$44,MATCH($Q6,НАУКА!$A$5:$A$44,0)),1)))</f>
        <v/>
      </c>
      <c r="S6" s="37" t="str">
        <f aca="false">IF($Q6="","",IFERROR(INDEX(НАУКА!$G$5:$G$44,MATCH($Q6,НАУКА!$A$5:$A$44,0)),""))</f>
        <v/>
      </c>
      <c r="T6" s="44"/>
      <c r="U6" s="44"/>
      <c r="V6" s="43"/>
      <c r="W6" s="37" t="n">
        <f aca="false">IF(OR($C6="",$D6=""),0,IF(AND($D6&lt;ИНФА!$F$5,OR($T6="",$T6&gt;=ИНФА!$F$5)),1,0))</f>
        <v>0</v>
      </c>
      <c r="X6" s="46" t="str">
        <f aca="false">IF($C6="","",INDEX(СОБЫТИЯ!$B$5:$K$8,MATCH($K6,СОБЫТИЯ!$A$5:$A$8,0),ИНФА!$F$5))</f>
        <v/>
      </c>
      <c r="Y6" s="42" t="str">
        <f aca="false">IF($C6="","",IF($W6=1,ROUND($L6*$O6*IF(AND($Q6&lt;&gt;"",$S6&lt;&gt;""),IF($S6&lt;ИНФА!$F$5,$R6,1),1)*$X6,0)-$M6+N($AF6)+N($AG6),0))</f>
        <v/>
      </c>
      <c r="Z6" s="38" t="str">
        <f aca="false">IF($C6="","",IF($T6="",INDEX(ИНФА!$M$5:$M$19,MATCH($C6,ИНФА!$I$5:$I$19,0)),0))</f>
        <v/>
      </c>
      <c r="AA6" s="38" t="str">
        <f aca="false">IF(OR($C6="",$T6=""),"",IF($V6&lt;&gt;"",$V6,INDEX(ИНФА!$N$5:$N$19,MATCH($C6,ИНФА!$I$5:$I$19,0))))</f>
        <v/>
      </c>
      <c r="AB6" s="37" t="str">
        <f aca="false">IF($C6="","",IF($T6&lt;&gt;"",IF($U6&lt;&gt;"","продано компании "&amp;$U6&amp;" в цикле "&amp;$T6,"продано Инфраструктуре в цикле "&amp;$T6),IF($D6&gt;=ИНФА!$F$5,"доход со следующего цикла","приносит доход")))</f>
        <v/>
      </c>
      <c r="AC6" s="47" t="str">
        <f aca="false">IF($C6="","",IF($F6="","",IF($E6="","укажите продавца; ",IF(OR($F6&lt;INDEX(ИНФА!$N$5:$N$19,MATCH($C6,ИНФА!$I$5:$I$19,0)),$F6&gt;INDEX(ИНФА!$M$5:$M$19,MATCH($C6,ИНФА!$I$5:$I$19,0))),"цена покупки вне коридора! ","")))&amp;IF($U6="","",IF(OR($V6="",$T6=""),"укажите цикл и цену продажи; ",IF(OR($V6&lt;INDEX(ИНФА!$N$5:$N$19,MATCH($C6,ИНФА!$I$5:$I$19,0)),$V6&gt;INDEX(ИНФА!$M$5:$M$19,MATCH($C6,ИНФА!$I$5:$I$19,0))),"цена продажи вне коридора! ","")))&amp;IF(AND($T6="",COUNTIFS($C$5:$C6,$C6,$T$5:$T6,"")&gt;INDEX(ИНФА!$Q$5:$Q$19,MATCH($C6,ИНФА!$I$5:$I$19,0))),"лотов нет! ","")&amp;IF(AND($E6&lt;&gt;"",$F6=""),"укажите цену сделки; ","")&amp;IF(AND(N($H6)&gt;0,OR($AD6="",$AD6="Профессия"),OR($H6&gt;ИНФА!$F$29,$I6&lt;INDEX(ИНФА!$N$5:$N$19,MATCH($C6,ИНФА!$I$5:$I$19,0))+ИНФА!$F$30)),"скидка больше лимита или цена ниже выкупа + 500! ","")&amp;IF($AE6="","",IF(IFERROR(INDEX($B$5:$B$204,MATCH($AE6,$A$5:$A$204,0))=$B6,TRUE()),"бизнес-пара — только со зданием другой компании; ",""))&amp;IF($Q6="","",IF(IFERROR(INDEX(НАУКА!$B$5:$B$44,MATCH($Q6,НАУКА!$A$5:$A$44,0))&lt;&gt;$B6,FALSE()),"патент другой компании — нужна лицензия или соглашение; ","")))</f>
        <v/>
      </c>
      <c r="AD6" s="44"/>
      <c r="AE6" s="44"/>
      <c r="AF6" s="38" t="str">
        <f aca="false">IF($C6="","",IF(AND($W6=1,OR($C6="Дом",$C6="Кафе")),ИНФА!$F$17*(COUNTIFS($B$5:$B6,$B6,$C$5:$C6,$C6,$W$5:$W6,1)&lt;=COUNTIFS($B$5:$B$204,$B6,$C$5:$C$204,"Парк",$W$5:$W$204,1)),0))</f>
        <v/>
      </c>
      <c r="AG6" s="38" t="str">
        <f aca="false">IF($C6="","",IF($W6=1,IF(OR(AND($AE6&lt;&gt;"",IFERROR(INDEX($W$5:$W$204,MATCH($AE6,$A$5:$A$204,0))=1,FALSE()),IFERROR(INDEX($B$5:$B$204,MATCH($AE6,$A$5:$A$204,0))&lt;&gt;$B6,FALSE())),COUNTIFS($AE$5:$AE$204,$A6,$W$5:$W$204,1,$B$5:$B$204,"&lt;&gt;"&amp;$B6)&gt;0),ИНФА!$F$31,0),0))</f>
        <v/>
      </c>
    </row>
    <row r="7" customFormat="false" ht="15" hidden="false" customHeight="false" outlineLevel="0" collapsed="false">
      <c r="A7" s="15" t="n">
        <v>3</v>
      </c>
      <c r="B7" s="44"/>
      <c r="C7" s="44"/>
      <c r="D7" s="44"/>
      <c r="E7" s="44"/>
      <c r="F7" s="43"/>
      <c r="G7" s="38" t="str">
        <f aca="false">IF($C7="","",IF($F7&lt;&gt;"",$F7,INDEX(ИНФА!$M$5:$M$19,MATCH($C7,ИНФА!$I$5:$I$19,0))))</f>
        <v/>
      </c>
      <c r="H7" s="43"/>
      <c r="I7" s="38" t="str">
        <f aca="false">IF($C7="","",G7-N(H7))</f>
        <v/>
      </c>
      <c r="J7" s="37" t="str">
        <f aca="false">IF($C7="","",INDEX(ИНФА!$J$5:$J$19,MATCH($C7,ИНФА!$I$5:$I$19,0)))</f>
        <v/>
      </c>
      <c r="K7" s="37" t="str">
        <f aca="false">IF($C7="","",INDEX(ИНФА!$K$5:$K$19,MATCH($C7,ИНФА!$I$5:$I$19,0)))</f>
        <v/>
      </c>
      <c r="L7" s="38" t="str">
        <f aca="false">IF($C7="","",INDEX(ИНФА!$O$5:$O$19,MATCH($C7,ИНФА!$I$5:$I$19,0)))</f>
        <v/>
      </c>
      <c r="M7" s="38" t="str">
        <f aca="false">IF($C7="","",INDEX(ИНФА!$P$5:$P$19,MATCH($C7,ИНФА!$I$5:$I$19,0)))</f>
        <v/>
      </c>
      <c r="N7" s="44"/>
      <c r="O7" s="48" t="n">
        <f aca="false">IF(OR($C7="",$N7=""),1,IF(AND($J7="Услуги",IFERROR(INDEX($C$5:$C$204,MATCH($N7,$A$5:$A$204,0))=INDEX(ИНФА!$L$5:$L$19,MATCH($C7,ИНФА!$I$5:$I$19,0)),FALSE()),IFERROR(INDEX($W$5:$W$204,MATCH($N7,$A$5:$A$204,0))=1,FALSE()),COUNTIF($N$5:$N7,$N7)&lt;=ИНФА!$F$16),1+ИНФА!$F$15,1))</f>
        <v>1</v>
      </c>
      <c r="P7" s="47" t="str">
        <f aca="false">IF($C7="","",IF($J7&lt;&gt;"Услуги","",IF($N7="","нет поставщика — нужен "&amp;INDEX(ИНФА!$L$5:$L$19,MATCH($C7,ИНФА!$I$5:$I$19,0)),IF($O7&gt;1,"✓ поставка работает (+50%)",IF(IFERROR(INDEX($C$5:$C$204,MATCH($N7,$A$5:$A$204,0))&lt;&gt;INDEX(ИНФА!$L$5:$L$19,MATCH($C7,ИНФА!$I$5:$I$19,0)),TRUE()),"не тот поставщик: нужен "&amp;INDEX(ИНФА!$L$5:$L$19,MATCH($C7,ИНФА!$I$5:$I$19,0)),IF(COUNTIF($N$5:$N7,$N7)&gt;ИНФА!$F$16,"поставщик перегружен","поставщик ещё не работает или продан"))))))</f>
        <v/>
      </c>
      <c r="Q7" s="44"/>
      <c r="R7" s="48" t="str">
        <f aca="false">IF($C7="","",IF($Q7="",1,IFERROR(INDEX(НАУКА!$K$5:$K$44,MATCH($Q7,НАУКА!$A$5:$A$44,0)),1)))</f>
        <v/>
      </c>
      <c r="S7" s="37" t="str">
        <f aca="false">IF($Q7="","",IFERROR(INDEX(НАУКА!$G$5:$G$44,MATCH($Q7,НАУКА!$A$5:$A$44,0)),""))</f>
        <v/>
      </c>
      <c r="T7" s="44"/>
      <c r="U7" s="44"/>
      <c r="V7" s="43"/>
      <c r="W7" s="37" t="n">
        <f aca="false">IF(OR($C7="",$D7=""),0,IF(AND($D7&lt;ИНФА!$F$5,OR($T7="",$T7&gt;=ИНФА!$F$5)),1,0))</f>
        <v>0</v>
      </c>
      <c r="X7" s="46" t="str">
        <f aca="false">IF($C7="","",INDEX(СОБЫТИЯ!$B$5:$K$8,MATCH($K7,СОБЫТИЯ!$A$5:$A$8,0),ИНФА!$F$5))</f>
        <v/>
      </c>
      <c r="Y7" s="42" t="str">
        <f aca="false">IF($C7="","",IF($W7=1,ROUND($L7*$O7*IF(AND($Q7&lt;&gt;"",$S7&lt;&gt;""),IF($S7&lt;ИНФА!$F$5,$R7,1),1)*$X7,0)-$M7+N($AF7)+N($AG7),0))</f>
        <v/>
      </c>
      <c r="Z7" s="38" t="str">
        <f aca="false">IF($C7="","",IF($T7="",INDEX(ИНФА!$M$5:$M$19,MATCH($C7,ИНФА!$I$5:$I$19,0)),0))</f>
        <v/>
      </c>
      <c r="AA7" s="38" t="str">
        <f aca="false">IF(OR($C7="",$T7=""),"",IF($V7&lt;&gt;"",$V7,INDEX(ИНФА!$N$5:$N$19,MATCH($C7,ИНФА!$I$5:$I$19,0))))</f>
        <v/>
      </c>
      <c r="AB7" s="37" t="str">
        <f aca="false">IF($C7="","",IF($T7&lt;&gt;"",IF($U7&lt;&gt;"","продано компании "&amp;$U7&amp;" в цикле "&amp;$T7,"продано Инфраструктуре в цикле "&amp;$T7),IF($D7&gt;=ИНФА!$F$5,"доход со следующего цикла","приносит доход")))</f>
        <v/>
      </c>
      <c r="AC7" s="47" t="str">
        <f aca="false">IF($C7="","",IF($F7="","",IF($E7="","укажите продавца; ",IF(OR($F7&lt;INDEX(ИНФА!$N$5:$N$19,MATCH($C7,ИНФА!$I$5:$I$19,0)),$F7&gt;INDEX(ИНФА!$M$5:$M$19,MATCH($C7,ИНФА!$I$5:$I$19,0))),"цена покупки вне коридора! ","")))&amp;IF($U7="","",IF(OR($V7="",$T7=""),"укажите цикл и цену продажи; ",IF(OR($V7&lt;INDEX(ИНФА!$N$5:$N$19,MATCH($C7,ИНФА!$I$5:$I$19,0)),$V7&gt;INDEX(ИНФА!$M$5:$M$19,MATCH($C7,ИНФА!$I$5:$I$19,0))),"цена продажи вне коридора! ","")))&amp;IF(AND($T7="",COUNTIFS($C$5:$C7,$C7,$T$5:$T7,"")&gt;INDEX(ИНФА!$Q$5:$Q$19,MATCH($C7,ИНФА!$I$5:$I$19,0))),"лотов нет! ","")&amp;IF(AND($E7&lt;&gt;"",$F7=""),"укажите цену сделки; ","")&amp;IF(AND(N($H7)&gt;0,OR($AD7="",$AD7="Профессия"),OR($H7&gt;ИНФА!$F$29,$I7&lt;INDEX(ИНФА!$N$5:$N$19,MATCH($C7,ИНФА!$I$5:$I$19,0))+ИНФА!$F$30)),"скидка больше лимита или цена ниже выкупа + 500! ","")&amp;IF($AE7="","",IF(IFERROR(INDEX($B$5:$B$204,MATCH($AE7,$A$5:$A$204,0))=$B7,TRUE()),"бизнес-пара — только со зданием другой компании; ",""))&amp;IF($Q7="","",IF(IFERROR(INDEX(НАУКА!$B$5:$B$44,MATCH($Q7,НАУКА!$A$5:$A$44,0))&lt;&gt;$B7,FALSE()),"патент другой компании — нужна лицензия или соглашение; ","")))</f>
        <v/>
      </c>
      <c r="AD7" s="44"/>
      <c r="AE7" s="44"/>
      <c r="AF7" s="38" t="str">
        <f aca="false">IF($C7="","",IF(AND($W7=1,OR($C7="Дом",$C7="Кафе")),ИНФА!$F$17*(COUNTIFS($B$5:$B7,$B7,$C$5:$C7,$C7,$W$5:$W7,1)&lt;=COUNTIFS($B$5:$B$204,$B7,$C$5:$C$204,"Парк",$W$5:$W$204,1)),0))</f>
        <v/>
      </c>
      <c r="AG7" s="38" t="str">
        <f aca="false">IF($C7="","",IF($W7=1,IF(OR(AND($AE7&lt;&gt;"",IFERROR(INDEX($W$5:$W$204,MATCH($AE7,$A$5:$A$204,0))=1,FALSE()),IFERROR(INDEX($B$5:$B$204,MATCH($AE7,$A$5:$A$204,0))&lt;&gt;$B7,FALSE())),COUNTIFS($AE$5:$AE$204,$A7,$W$5:$W$204,1,$B$5:$B$204,"&lt;&gt;"&amp;$B7)&gt;0),ИНФА!$F$31,0),0))</f>
        <v/>
      </c>
    </row>
    <row r="8" customFormat="false" ht="15" hidden="false" customHeight="false" outlineLevel="0" collapsed="false">
      <c r="A8" s="15" t="n">
        <v>4</v>
      </c>
      <c r="B8" s="44"/>
      <c r="C8" s="44"/>
      <c r="D8" s="44"/>
      <c r="E8" s="44"/>
      <c r="F8" s="43"/>
      <c r="G8" s="38" t="str">
        <f aca="false">IF($C8="","",IF($F8&lt;&gt;"",$F8,INDEX(ИНФА!$M$5:$M$19,MATCH($C8,ИНФА!$I$5:$I$19,0))))</f>
        <v/>
      </c>
      <c r="H8" s="43"/>
      <c r="I8" s="38" t="str">
        <f aca="false">IF($C8="","",G8-N(H8))</f>
        <v/>
      </c>
      <c r="J8" s="37" t="str">
        <f aca="false">IF($C8="","",INDEX(ИНФА!$J$5:$J$19,MATCH($C8,ИНФА!$I$5:$I$19,0)))</f>
        <v/>
      </c>
      <c r="K8" s="37" t="str">
        <f aca="false">IF($C8="","",INDEX(ИНФА!$K$5:$K$19,MATCH($C8,ИНФА!$I$5:$I$19,0)))</f>
        <v/>
      </c>
      <c r="L8" s="38" t="str">
        <f aca="false">IF($C8="","",INDEX(ИНФА!$O$5:$O$19,MATCH($C8,ИНФА!$I$5:$I$19,0)))</f>
        <v/>
      </c>
      <c r="M8" s="38" t="str">
        <f aca="false">IF($C8="","",INDEX(ИНФА!$P$5:$P$19,MATCH($C8,ИНФА!$I$5:$I$19,0)))</f>
        <v/>
      </c>
      <c r="N8" s="44"/>
      <c r="O8" s="48" t="n">
        <f aca="false">IF(OR($C8="",$N8=""),1,IF(AND($J8="Услуги",IFERROR(INDEX($C$5:$C$204,MATCH($N8,$A$5:$A$204,0))=INDEX(ИНФА!$L$5:$L$19,MATCH($C8,ИНФА!$I$5:$I$19,0)),FALSE()),IFERROR(INDEX($W$5:$W$204,MATCH($N8,$A$5:$A$204,0))=1,FALSE()),COUNTIF($N$5:$N8,$N8)&lt;=ИНФА!$F$16),1+ИНФА!$F$15,1))</f>
        <v>1</v>
      </c>
      <c r="P8" s="47" t="str">
        <f aca="false">IF($C8="","",IF($J8&lt;&gt;"Услуги","",IF($N8="","нет поставщика — нужен "&amp;INDEX(ИНФА!$L$5:$L$19,MATCH($C8,ИНФА!$I$5:$I$19,0)),IF($O8&gt;1,"✓ поставка работает (+50%)",IF(IFERROR(INDEX($C$5:$C$204,MATCH($N8,$A$5:$A$204,0))&lt;&gt;INDEX(ИНФА!$L$5:$L$19,MATCH($C8,ИНФА!$I$5:$I$19,0)),TRUE()),"не тот поставщик: нужен "&amp;INDEX(ИНФА!$L$5:$L$19,MATCH($C8,ИНФА!$I$5:$I$19,0)),IF(COUNTIF($N$5:$N8,$N8)&gt;ИНФА!$F$16,"поставщик перегружен","поставщик ещё не работает или продан"))))))</f>
        <v/>
      </c>
      <c r="Q8" s="44"/>
      <c r="R8" s="48" t="str">
        <f aca="false">IF($C8="","",IF($Q8="",1,IFERROR(INDEX(НАУКА!$K$5:$K$44,MATCH($Q8,НАУКА!$A$5:$A$44,0)),1)))</f>
        <v/>
      </c>
      <c r="S8" s="37" t="str">
        <f aca="false">IF($Q8="","",IFERROR(INDEX(НАУКА!$G$5:$G$44,MATCH($Q8,НАУКА!$A$5:$A$44,0)),""))</f>
        <v/>
      </c>
      <c r="T8" s="44"/>
      <c r="U8" s="44"/>
      <c r="V8" s="43"/>
      <c r="W8" s="37" t="n">
        <f aca="false">IF(OR($C8="",$D8=""),0,IF(AND($D8&lt;ИНФА!$F$5,OR($T8="",$T8&gt;=ИНФА!$F$5)),1,0))</f>
        <v>0</v>
      </c>
      <c r="X8" s="46" t="str">
        <f aca="false">IF($C8="","",INDEX(СОБЫТИЯ!$B$5:$K$8,MATCH($K8,СОБЫТИЯ!$A$5:$A$8,0),ИНФА!$F$5))</f>
        <v/>
      </c>
      <c r="Y8" s="42" t="str">
        <f aca="false">IF($C8="","",IF($W8=1,ROUND($L8*$O8*IF(AND($Q8&lt;&gt;"",$S8&lt;&gt;""),IF($S8&lt;ИНФА!$F$5,$R8,1),1)*$X8,0)-$M8+N($AF8)+N($AG8),0))</f>
        <v/>
      </c>
      <c r="Z8" s="38" t="str">
        <f aca="false">IF($C8="","",IF($T8="",INDEX(ИНФА!$M$5:$M$19,MATCH($C8,ИНФА!$I$5:$I$19,0)),0))</f>
        <v/>
      </c>
      <c r="AA8" s="38" t="str">
        <f aca="false">IF(OR($C8="",$T8=""),"",IF($V8&lt;&gt;"",$V8,INDEX(ИНФА!$N$5:$N$19,MATCH($C8,ИНФА!$I$5:$I$19,0))))</f>
        <v/>
      </c>
      <c r="AB8" s="37" t="str">
        <f aca="false">IF($C8="","",IF($T8&lt;&gt;"",IF($U8&lt;&gt;"","продано компании "&amp;$U8&amp;" в цикле "&amp;$T8,"продано Инфраструктуре в цикле "&amp;$T8),IF($D8&gt;=ИНФА!$F$5,"доход со следующего цикла","приносит доход")))</f>
        <v/>
      </c>
      <c r="AC8" s="47" t="str">
        <f aca="false">IF($C8="","",IF($F8="","",IF($E8="","укажите продавца; ",IF(OR($F8&lt;INDEX(ИНФА!$N$5:$N$19,MATCH($C8,ИНФА!$I$5:$I$19,0)),$F8&gt;INDEX(ИНФА!$M$5:$M$19,MATCH($C8,ИНФА!$I$5:$I$19,0))),"цена покупки вне коридора! ","")))&amp;IF($U8="","",IF(OR($V8="",$T8=""),"укажите цикл и цену продажи; ",IF(OR($V8&lt;INDEX(ИНФА!$N$5:$N$19,MATCH($C8,ИНФА!$I$5:$I$19,0)),$V8&gt;INDEX(ИНФА!$M$5:$M$19,MATCH($C8,ИНФА!$I$5:$I$19,0))),"цена продажи вне коридора! ","")))&amp;IF(AND($T8="",COUNTIFS($C$5:$C8,$C8,$T$5:$T8,"")&gt;INDEX(ИНФА!$Q$5:$Q$19,MATCH($C8,ИНФА!$I$5:$I$19,0))),"лотов нет! ","")&amp;IF(AND($E8&lt;&gt;"",$F8=""),"укажите цену сделки; ","")&amp;IF(AND(N($H8)&gt;0,OR($AD8="",$AD8="Профессия"),OR($H8&gt;ИНФА!$F$29,$I8&lt;INDEX(ИНФА!$N$5:$N$19,MATCH($C8,ИНФА!$I$5:$I$19,0))+ИНФА!$F$30)),"скидка больше лимита или цена ниже выкупа + 500! ","")&amp;IF($AE8="","",IF(IFERROR(INDEX($B$5:$B$204,MATCH($AE8,$A$5:$A$204,0))=$B8,TRUE()),"бизнес-пара — только со зданием другой компании; ",""))&amp;IF($Q8="","",IF(IFERROR(INDEX(НАУКА!$B$5:$B$44,MATCH($Q8,НАУКА!$A$5:$A$44,0))&lt;&gt;$B8,FALSE()),"патент другой компании — нужна лицензия или соглашение; ","")))</f>
        <v/>
      </c>
      <c r="AD8" s="44"/>
      <c r="AE8" s="44"/>
      <c r="AF8" s="38" t="str">
        <f aca="false">IF($C8="","",IF(AND($W8=1,OR($C8="Дом",$C8="Кафе")),ИНФА!$F$17*(COUNTIFS($B$5:$B8,$B8,$C$5:$C8,$C8,$W$5:$W8,1)&lt;=COUNTIFS($B$5:$B$204,$B8,$C$5:$C$204,"Парк",$W$5:$W$204,1)),0))</f>
        <v/>
      </c>
      <c r="AG8" s="38" t="str">
        <f aca="false">IF($C8="","",IF($W8=1,IF(OR(AND($AE8&lt;&gt;"",IFERROR(INDEX($W$5:$W$204,MATCH($AE8,$A$5:$A$204,0))=1,FALSE()),IFERROR(INDEX($B$5:$B$204,MATCH($AE8,$A$5:$A$204,0))&lt;&gt;$B8,FALSE())),COUNTIFS($AE$5:$AE$204,$A8,$W$5:$W$204,1,$B$5:$B$204,"&lt;&gt;"&amp;$B8)&gt;0),ИНФА!$F$31,0),0))</f>
        <v/>
      </c>
    </row>
    <row r="9" customFormat="false" ht="15" hidden="false" customHeight="false" outlineLevel="0" collapsed="false">
      <c r="A9" s="15" t="n">
        <v>5</v>
      </c>
      <c r="B9" s="44"/>
      <c r="C9" s="44"/>
      <c r="D9" s="44"/>
      <c r="E9" s="44"/>
      <c r="F9" s="43"/>
      <c r="G9" s="38" t="str">
        <f aca="false">IF($C9="","",IF($F9&lt;&gt;"",$F9,INDEX(ИНФА!$M$5:$M$19,MATCH($C9,ИНФА!$I$5:$I$19,0))))</f>
        <v/>
      </c>
      <c r="H9" s="43"/>
      <c r="I9" s="38" t="str">
        <f aca="false">IF($C9="","",G9-N(H9))</f>
        <v/>
      </c>
      <c r="J9" s="37" t="str">
        <f aca="false">IF($C9="","",INDEX(ИНФА!$J$5:$J$19,MATCH($C9,ИНФА!$I$5:$I$19,0)))</f>
        <v/>
      </c>
      <c r="K9" s="37" t="str">
        <f aca="false">IF($C9="","",INDEX(ИНФА!$K$5:$K$19,MATCH($C9,ИНФА!$I$5:$I$19,0)))</f>
        <v/>
      </c>
      <c r="L9" s="38" t="str">
        <f aca="false">IF($C9="","",INDEX(ИНФА!$O$5:$O$19,MATCH($C9,ИНФА!$I$5:$I$19,0)))</f>
        <v/>
      </c>
      <c r="M9" s="38" t="str">
        <f aca="false">IF($C9="","",INDEX(ИНФА!$P$5:$P$19,MATCH($C9,ИНФА!$I$5:$I$19,0)))</f>
        <v/>
      </c>
      <c r="N9" s="44"/>
      <c r="O9" s="48" t="n">
        <f aca="false">IF(OR($C9="",$N9=""),1,IF(AND($J9="Услуги",IFERROR(INDEX($C$5:$C$204,MATCH($N9,$A$5:$A$204,0))=INDEX(ИНФА!$L$5:$L$19,MATCH($C9,ИНФА!$I$5:$I$19,0)),FALSE()),IFERROR(INDEX($W$5:$W$204,MATCH($N9,$A$5:$A$204,0))=1,FALSE()),COUNTIF($N$5:$N9,$N9)&lt;=ИНФА!$F$16),1+ИНФА!$F$15,1))</f>
        <v>1</v>
      </c>
      <c r="P9" s="47" t="str">
        <f aca="false">IF($C9="","",IF($J9&lt;&gt;"Услуги","",IF($N9="","нет поставщика — нужен "&amp;INDEX(ИНФА!$L$5:$L$19,MATCH($C9,ИНФА!$I$5:$I$19,0)),IF($O9&gt;1,"✓ поставка работает (+50%)",IF(IFERROR(INDEX($C$5:$C$204,MATCH($N9,$A$5:$A$204,0))&lt;&gt;INDEX(ИНФА!$L$5:$L$19,MATCH($C9,ИНФА!$I$5:$I$19,0)),TRUE()),"не тот поставщик: нужен "&amp;INDEX(ИНФА!$L$5:$L$19,MATCH($C9,ИНФА!$I$5:$I$19,0)),IF(COUNTIF($N$5:$N9,$N9)&gt;ИНФА!$F$16,"поставщик перегружен","поставщик ещё не работает или продан"))))))</f>
        <v/>
      </c>
      <c r="Q9" s="44"/>
      <c r="R9" s="48" t="str">
        <f aca="false">IF($C9="","",IF($Q9="",1,IFERROR(INDEX(НАУКА!$K$5:$K$44,MATCH($Q9,НАУКА!$A$5:$A$44,0)),1)))</f>
        <v/>
      </c>
      <c r="S9" s="37" t="str">
        <f aca="false">IF($Q9="","",IFERROR(INDEX(НАУКА!$G$5:$G$44,MATCH($Q9,НАУКА!$A$5:$A$44,0)),""))</f>
        <v/>
      </c>
      <c r="T9" s="44"/>
      <c r="U9" s="44"/>
      <c r="V9" s="43"/>
      <c r="W9" s="37" t="n">
        <f aca="false">IF(OR($C9="",$D9=""),0,IF(AND($D9&lt;ИНФА!$F$5,OR($T9="",$T9&gt;=ИНФА!$F$5)),1,0))</f>
        <v>0</v>
      </c>
      <c r="X9" s="46" t="str">
        <f aca="false">IF($C9="","",INDEX(СОБЫТИЯ!$B$5:$K$8,MATCH($K9,СОБЫТИЯ!$A$5:$A$8,0),ИНФА!$F$5))</f>
        <v/>
      </c>
      <c r="Y9" s="42" t="str">
        <f aca="false">IF($C9="","",IF($W9=1,ROUND($L9*$O9*IF(AND($Q9&lt;&gt;"",$S9&lt;&gt;""),IF($S9&lt;ИНФА!$F$5,$R9,1),1)*$X9,0)-$M9+N($AF9)+N($AG9),0))</f>
        <v/>
      </c>
      <c r="Z9" s="38" t="str">
        <f aca="false">IF($C9="","",IF($T9="",INDEX(ИНФА!$M$5:$M$19,MATCH($C9,ИНФА!$I$5:$I$19,0)),0))</f>
        <v/>
      </c>
      <c r="AA9" s="38" t="str">
        <f aca="false">IF(OR($C9="",$T9=""),"",IF($V9&lt;&gt;"",$V9,INDEX(ИНФА!$N$5:$N$19,MATCH($C9,ИНФА!$I$5:$I$19,0))))</f>
        <v/>
      </c>
      <c r="AB9" s="37" t="str">
        <f aca="false">IF($C9="","",IF($T9&lt;&gt;"",IF($U9&lt;&gt;"","продано компании "&amp;$U9&amp;" в цикле "&amp;$T9,"продано Инфраструктуре в цикле "&amp;$T9),IF($D9&gt;=ИНФА!$F$5,"доход со следующего цикла","приносит доход")))</f>
        <v/>
      </c>
      <c r="AC9" s="47" t="str">
        <f aca="false">IF($C9="","",IF($F9="","",IF($E9="","укажите продавца; ",IF(OR($F9&lt;INDEX(ИНФА!$N$5:$N$19,MATCH($C9,ИНФА!$I$5:$I$19,0)),$F9&gt;INDEX(ИНФА!$M$5:$M$19,MATCH($C9,ИНФА!$I$5:$I$19,0))),"цена покупки вне коридора! ","")))&amp;IF($U9="","",IF(OR($V9="",$T9=""),"укажите цикл и цену продажи; ",IF(OR($V9&lt;INDEX(ИНФА!$N$5:$N$19,MATCH($C9,ИНФА!$I$5:$I$19,0)),$V9&gt;INDEX(ИНФА!$M$5:$M$19,MATCH($C9,ИНФА!$I$5:$I$19,0))),"цена продажи вне коридора! ","")))&amp;IF(AND($T9="",COUNTIFS($C$5:$C9,$C9,$T$5:$T9,"")&gt;INDEX(ИНФА!$Q$5:$Q$19,MATCH($C9,ИНФА!$I$5:$I$19,0))),"лотов нет! ","")&amp;IF(AND($E9&lt;&gt;"",$F9=""),"укажите цену сделки; ","")&amp;IF(AND(N($H9)&gt;0,OR($AD9="",$AD9="Профессия"),OR($H9&gt;ИНФА!$F$29,$I9&lt;INDEX(ИНФА!$N$5:$N$19,MATCH($C9,ИНФА!$I$5:$I$19,0))+ИНФА!$F$30)),"скидка больше лимита или цена ниже выкупа + 500! ","")&amp;IF($AE9="","",IF(IFERROR(INDEX($B$5:$B$204,MATCH($AE9,$A$5:$A$204,0))=$B9,TRUE()),"бизнес-пара — только со зданием другой компании; ",""))&amp;IF($Q9="","",IF(IFERROR(INDEX(НАУКА!$B$5:$B$44,MATCH($Q9,НАУКА!$A$5:$A$44,0))&lt;&gt;$B9,FALSE()),"патент другой компании — нужна лицензия или соглашение; ","")))</f>
        <v/>
      </c>
      <c r="AD9" s="44"/>
      <c r="AE9" s="44"/>
      <c r="AF9" s="38" t="str">
        <f aca="false">IF($C9="","",IF(AND($W9=1,OR($C9="Дом",$C9="Кафе")),ИНФА!$F$17*(COUNTIFS($B$5:$B9,$B9,$C$5:$C9,$C9,$W$5:$W9,1)&lt;=COUNTIFS($B$5:$B$204,$B9,$C$5:$C$204,"Парк",$W$5:$W$204,1)),0))</f>
        <v/>
      </c>
      <c r="AG9" s="38" t="str">
        <f aca="false">IF($C9="","",IF($W9=1,IF(OR(AND($AE9&lt;&gt;"",IFERROR(INDEX($W$5:$W$204,MATCH($AE9,$A$5:$A$204,0))=1,FALSE()),IFERROR(INDEX($B$5:$B$204,MATCH($AE9,$A$5:$A$204,0))&lt;&gt;$B9,FALSE())),COUNTIFS($AE$5:$AE$204,$A9,$W$5:$W$204,1,$B$5:$B$204,"&lt;&gt;"&amp;$B9)&gt;0),ИНФА!$F$31,0),0))</f>
        <v/>
      </c>
    </row>
    <row r="10" customFormat="false" ht="15" hidden="false" customHeight="false" outlineLevel="0" collapsed="false">
      <c r="A10" s="15" t="n">
        <v>6</v>
      </c>
      <c r="B10" s="44"/>
      <c r="C10" s="44"/>
      <c r="D10" s="44"/>
      <c r="E10" s="44"/>
      <c r="F10" s="43"/>
      <c r="G10" s="38" t="str">
        <f aca="false">IF($C10="","",IF($F10&lt;&gt;"",$F10,INDEX(ИНФА!$M$5:$M$19,MATCH($C10,ИНФА!$I$5:$I$19,0))))</f>
        <v/>
      </c>
      <c r="H10" s="43"/>
      <c r="I10" s="38" t="str">
        <f aca="false">IF($C10="","",G10-N(H10))</f>
        <v/>
      </c>
      <c r="J10" s="37" t="str">
        <f aca="false">IF($C10="","",INDEX(ИНФА!$J$5:$J$19,MATCH($C10,ИНФА!$I$5:$I$19,0)))</f>
        <v/>
      </c>
      <c r="K10" s="37" t="str">
        <f aca="false">IF($C10="","",INDEX(ИНФА!$K$5:$K$19,MATCH($C10,ИНФА!$I$5:$I$19,0)))</f>
        <v/>
      </c>
      <c r="L10" s="38" t="str">
        <f aca="false">IF($C10="","",INDEX(ИНФА!$O$5:$O$19,MATCH($C10,ИНФА!$I$5:$I$19,0)))</f>
        <v/>
      </c>
      <c r="M10" s="38" t="str">
        <f aca="false">IF($C10="","",INDEX(ИНФА!$P$5:$P$19,MATCH($C10,ИНФА!$I$5:$I$19,0)))</f>
        <v/>
      </c>
      <c r="N10" s="44"/>
      <c r="O10" s="48" t="n">
        <f aca="false">IF(OR($C10="",$N10=""),1,IF(AND($J10="Услуги",IFERROR(INDEX($C$5:$C$204,MATCH($N10,$A$5:$A$204,0))=INDEX(ИНФА!$L$5:$L$19,MATCH($C10,ИНФА!$I$5:$I$19,0)),FALSE()),IFERROR(INDEX($W$5:$W$204,MATCH($N10,$A$5:$A$204,0))=1,FALSE()),COUNTIF($N$5:$N10,$N10)&lt;=ИНФА!$F$16),1+ИНФА!$F$15,1))</f>
        <v>1</v>
      </c>
      <c r="P10" s="47" t="str">
        <f aca="false">IF($C10="","",IF($J10&lt;&gt;"Услуги","",IF($N10="","нет поставщика — нужен "&amp;INDEX(ИНФА!$L$5:$L$19,MATCH($C10,ИНФА!$I$5:$I$19,0)),IF($O10&gt;1,"✓ поставка работает (+50%)",IF(IFERROR(INDEX($C$5:$C$204,MATCH($N10,$A$5:$A$204,0))&lt;&gt;INDEX(ИНФА!$L$5:$L$19,MATCH($C10,ИНФА!$I$5:$I$19,0)),TRUE()),"не тот поставщик: нужен "&amp;INDEX(ИНФА!$L$5:$L$19,MATCH($C10,ИНФА!$I$5:$I$19,0)),IF(COUNTIF($N$5:$N10,$N10)&gt;ИНФА!$F$16,"поставщик перегружен","поставщик ещё не работает или продан"))))))</f>
        <v/>
      </c>
      <c r="Q10" s="44"/>
      <c r="R10" s="48" t="str">
        <f aca="false">IF($C10="","",IF($Q10="",1,IFERROR(INDEX(НАУКА!$K$5:$K$44,MATCH($Q10,НАУКА!$A$5:$A$44,0)),1)))</f>
        <v/>
      </c>
      <c r="S10" s="37" t="str">
        <f aca="false">IF($Q10="","",IFERROR(INDEX(НАУКА!$G$5:$G$44,MATCH($Q10,НАУКА!$A$5:$A$44,0)),""))</f>
        <v/>
      </c>
      <c r="T10" s="44"/>
      <c r="U10" s="44"/>
      <c r="V10" s="43"/>
      <c r="W10" s="37" t="n">
        <f aca="false">IF(OR($C10="",$D10=""),0,IF(AND($D10&lt;ИНФА!$F$5,OR($T10="",$T10&gt;=ИНФА!$F$5)),1,0))</f>
        <v>0</v>
      </c>
      <c r="X10" s="46" t="str">
        <f aca="false">IF($C10="","",INDEX(СОБЫТИЯ!$B$5:$K$8,MATCH($K10,СОБЫТИЯ!$A$5:$A$8,0),ИНФА!$F$5))</f>
        <v/>
      </c>
      <c r="Y10" s="42" t="str">
        <f aca="false">IF($C10="","",IF($W10=1,ROUND($L10*$O10*IF(AND($Q10&lt;&gt;"",$S10&lt;&gt;""),IF($S10&lt;ИНФА!$F$5,$R10,1),1)*$X10,0)-$M10+N($AF10)+N($AG10),0))</f>
        <v/>
      </c>
      <c r="Z10" s="38" t="str">
        <f aca="false">IF($C10="","",IF($T10="",INDEX(ИНФА!$M$5:$M$19,MATCH($C10,ИНФА!$I$5:$I$19,0)),0))</f>
        <v/>
      </c>
      <c r="AA10" s="38" t="str">
        <f aca="false">IF(OR($C10="",$T10=""),"",IF($V10&lt;&gt;"",$V10,INDEX(ИНФА!$N$5:$N$19,MATCH($C10,ИНФА!$I$5:$I$19,0))))</f>
        <v/>
      </c>
      <c r="AB10" s="37" t="str">
        <f aca="false">IF($C10="","",IF($T10&lt;&gt;"",IF($U10&lt;&gt;"","продано компании "&amp;$U10&amp;" в цикле "&amp;$T10,"продано Инфраструктуре в цикле "&amp;$T10),IF($D10&gt;=ИНФА!$F$5,"доход со следующего цикла","приносит доход")))</f>
        <v/>
      </c>
      <c r="AC10" s="47" t="str">
        <f aca="false">IF($C10="","",IF($F10="","",IF($E10="","укажите продавца; ",IF(OR($F10&lt;INDEX(ИНФА!$N$5:$N$19,MATCH($C10,ИНФА!$I$5:$I$19,0)),$F10&gt;INDEX(ИНФА!$M$5:$M$19,MATCH($C10,ИНФА!$I$5:$I$19,0))),"цена покупки вне коридора! ","")))&amp;IF($U10="","",IF(OR($V10="",$T10=""),"укажите цикл и цену продажи; ",IF(OR($V10&lt;INDEX(ИНФА!$N$5:$N$19,MATCH($C10,ИНФА!$I$5:$I$19,0)),$V10&gt;INDEX(ИНФА!$M$5:$M$19,MATCH($C10,ИНФА!$I$5:$I$19,0))),"цена продажи вне коридора! ","")))&amp;IF(AND($T10="",COUNTIFS($C$5:$C10,$C10,$T$5:$T10,"")&gt;INDEX(ИНФА!$Q$5:$Q$19,MATCH($C10,ИНФА!$I$5:$I$19,0))),"лотов нет! ","")&amp;IF(AND($E10&lt;&gt;"",$F10=""),"укажите цену сделки; ","")&amp;IF(AND(N($H10)&gt;0,OR($AD10="",$AD10="Профессия"),OR($H10&gt;ИНФА!$F$29,$I10&lt;INDEX(ИНФА!$N$5:$N$19,MATCH($C10,ИНФА!$I$5:$I$19,0))+ИНФА!$F$30)),"скидка больше лимита или цена ниже выкупа + 500! ","")&amp;IF($AE10="","",IF(IFERROR(INDEX($B$5:$B$204,MATCH($AE10,$A$5:$A$204,0))=$B10,TRUE()),"бизнес-пара — только со зданием другой компании; ",""))&amp;IF($Q10="","",IF(IFERROR(INDEX(НАУКА!$B$5:$B$44,MATCH($Q10,НАУКА!$A$5:$A$44,0))&lt;&gt;$B10,FALSE()),"патент другой компании — нужна лицензия или соглашение; ","")))</f>
        <v/>
      </c>
      <c r="AD10" s="44"/>
      <c r="AE10" s="44"/>
      <c r="AF10" s="38" t="str">
        <f aca="false">IF($C10="","",IF(AND($W10=1,OR($C10="Дом",$C10="Кафе")),ИНФА!$F$17*(COUNTIFS($B$5:$B10,$B10,$C$5:$C10,$C10,$W$5:$W10,1)&lt;=COUNTIFS($B$5:$B$204,$B10,$C$5:$C$204,"Парк",$W$5:$W$204,1)),0))</f>
        <v/>
      </c>
      <c r="AG10" s="38" t="str">
        <f aca="false">IF($C10="","",IF($W10=1,IF(OR(AND($AE10&lt;&gt;"",IFERROR(INDEX($W$5:$W$204,MATCH($AE10,$A$5:$A$204,0))=1,FALSE()),IFERROR(INDEX($B$5:$B$204,MATCH($AE10,$A$5:$A$204,0))&lt;&gt;$B10,FALSE())),COUNTIFS($AE$5:$AE$204,$A10,$W$5:$W$204,1,$B$5:$B$204,"&lt;&gt;"&amp;$B10)&gt;0),ИНФА!$F$31,0),0))</f>
        <v/>
      </c>
    </row>
    <row r="11" customFormat="false" ht="15" hidden="false" customHeight="false" outlineLevel="0" collapsed="false">
      <c r="A11" s="15" t="n">
        <v>7</v>
      </c>
      <c r="B11" s="44"/>
      <c r="C11" s="44"/>
      <c r="D11" s="44"/>
      <c r="E11" s="44"/>
      <c r="F11" s="43"/>
      <c r="G11" s="38" t="str">
        <f aca="false">IF($C11="","",IF($F11&lt;&gt;"",$F11,INDEX(ИНФА!$M$5:$M$19,MATCH($C11,ИНФА!$I$5:$I$19,0))))</f>
        <v/>
      </c>
      <c r="H11" s="43"/>
      <c r="I11" s="38" t="str">
        <f aca="false">IF($C11="","",G11-N(H11))</f>
        <v/>
      </c>
      <c r="J11" s="37" t="str">
        <f aca="false">IF($C11="","",INDEX(ИНФА!$J$5:$J$19,MATCH($C11,ИНФА!$I$5:$I$19,0)))</f>
        <v/>
      </c>
      <c r="K11" s="37" t="str">
        <f aca="false">IF($C11="","",INDEX(ИНФА!$K$5:$K$19,MATCH($C11,ИНФА!$I$5:$I$19,0)))</f>
        <v/>
      </c>
      <c r="L11" s="38" t="str">
        <f aca="false">IF($C11="","",INDEX(ИНФА!$O$5:$O$19,MATCH($C11,ИНФА!$I$5:$I$19,0)))</f>
        <v/>
      </c>
      <c r="M11" s="38" t="str">
        <f aca="false">IF($C11="","",INDEX(ИНФА!$P$5:$P$19,MATCH($C11,ИНФА!$I$5:$I$19,0)))</f>
        <v/>
      </c>
      <c r="N11" s="44"/>
      <c r="O11" s="48" t="n">
        <f aca="false">IF(OR($C11="",$N11=""),1,IF(AND($J11="Услуги",IFERROR(INDEX($C$5:$C$204,MATCH($N11,$A$5:$A$204,0))=INDEX(ИНФА!$L$5:$L$19,MATCH($C11,ИНФА!$I$5:$I$19,0)),FALSE()),IFERROR(INDEX($W$5:$W$204,MATCH($N11,$A$5:$A$204,0))=1,FALSE()),COUNTIF($N$5:$N11,$N11)&lt;=ИНФА!$F$16),1+ИНФА!$F$15,1))</f>
        <v>1</v>
      </c>
      <c r="P11" s="47" t="str">
        <f aca="false">IF($C11="","",IF($J11&lt;&gt;"Услуги","",IF($N11="","нет поставщика — нужен "&amp;INDEX(ИНФА!$L$5:$L$19,MATCH($C11,ИНФА!$I$5:$I$19,0)),IF($O11&gt;1,"✓ поставка работает (+50%)",IF(IFERROR(INDEX($C$5:$C$204,MATCH($N11,$A$5:$A$204,0))&lt;&gt;INDEX(ИНФА!$L$5:$L$19,MATCH($C11,ИНФА!$I$5:$I$19,0)),TRUE()),"не тот поставщик: нужен "&amp;INDEX(ИНФА!$L$5:$L$19,MATCH($C11,ИНФА!$I$5:$I$19,0)),IF(COUNTIF($N$5:$N11,$N11)&gt;ИНФА!$F$16,"поставщик перегружен","поставщик ещё не работает или продан"))))))</f>
        <v/>
      </c>
      <c r="Q11" s="44"/>
      <c r="R11" s="48" t="str">
        <f aca="false">IF($C11="","",IF($Q11="",1,IFERROR(INDEX(НАУКА!$K$5:$K$44,MATCH($Q11,НАУКА!$A$5:$A$44,0)),1)))</f>
        <v/>
      </c>
      <c r="S11" s="37" t="str">
        <f aca="false">IF($Q11="","",IFERROR(INDEX(НАУКА!$G$5:$G$44,MATCH($Q11,НАУКА!$A$5:$A$44,0)),""))</f>
        <v/>
      </c>
      <c r="T11" s="44"/>
      <c r="U11" s="44"/>
      <c r="V11" s="43"/>
      <c r="W11" s="37" t="n">
        <f aca="false">IF(OR($C11="",$D11=""),0,IF(AND($D11&lt;ИНФА!$F$5,OR($T11="",$T11&gt;=ИНФА!$F$5)),1,0))</f>
        <v>0</v>
      </c>
      <c r="X11" s="46" t="str">
        <f aca="false">IF($C11="","",INDEX(СОБЫТИЯ!$B$5:$K$8,MATCH($K11,СОБЫТИЯ!$A$5:$A$8,0),ИНФА!$F$5))</f>
        <v/>
      </c>
      <c r="Y11" s="42" t="str">
        <f aca="false">IF($C11="","",IF($W11=1,ROUND($L11*$O11*IF(AND($Q11&lt;&gt;"",$S11&lt;&gt;""),IF($S11&lt;ИНФА!$F$5,$R11,1),1)*$X11,0)-$M11+N($AF11)+N($AG11),0))</f>
        <v/>
      </c>
      <c r="Z11" s="38" t="str">
        <f aca="false">IF($C11="","",IF($T11="",INDEX(ИНФА!$M$5:$M$19,MATCH($C11,ИНФА!$I$5:$I$19,0)),0))</f>
        <v/>
      </c>
      <c r="AA11" s="38" t="str">
        <f aca="false">IF(OR($C11="",$T11=""),"",IF($V11&lt;&gt;"",$V11,INDEX(ИНФА!$N$5:$N$19,MATCH($C11,ИНФА!$I$5:$I$19,0))))</f>
        <v/>
      </c>
      <c r="AB11" s="37" t="str">
        <f aca="false">IF($C11="","",IF($T11&lt;&gt;"",IF($U11&lt;&gt;"","продано компании "&amp;$U11&amp;" в цикле "&amp;$T11,"продано Инфраструктуре в цикле "&amp;$T11),IF($D11&gt;=ИНФА!$F$5,"доход со следующего цикла","приносит доход")))</f>
        <v/>
      </c>
      <c r="AC11" s="47" t="str">
        <f aca="false">IF($C11="","",IF($F11="","",IF($E11="","укажите продавца; ",IF(OR($F11&lt;INDEX(ИНФА!$N$5:$N$19,MATCH($C11,ИНФА!$I$5:$I$19,0)),$F11&gt;INDEX(ИНФА!$M$5:$M$19,MATCH($C11,ИНФА!$I$5:$I$19,0))),"цена покупки вне коридора! ","")))&amp;IF($U11="","",IF(OR($V11="",$T11=""),"укажите цикл и цену продажи; ",IF(OR($V11&lt;INDEX(ИНФА!$N$5:$N$19,MATCH($C11,ИНФА!$I$5:$I$19,0)),$V11&gt;INDEX(ИНФА!$M$5:$M$19,MATCH($C11,ИНФА!$I$5:$I$19,0))),"цена продажи вне коридора! ","")))&amp;IF(AND($T11="",COUNTIFS($C$5:$C11,$C11,$T$5:$T11,"")&gt;INDEX(ИНФА!$Q$5:$Q$19,MATCH($C11,ИНФА!$I$5:$I$19,0))),"лотов нет! ","")&amp;IF(AND($E11&lt;&gt;"",$F11=""),"укажите цену сделки; ","")&amp;IF(AND(N($H11)&gt;0,OR($AD11="",$AD11="Профессия"),OR($H11&gt;ИНФА!$F$29,$I11&lt;INDEX(ИНФА!$N$5:$N$19,MATCH($C11,ИНФА!$I$5:$I$19,0))+ИНФА!$F$30)),"скидка больше лимита или цена ниже выкупа + 500! ","")&amp;IF($AE11="","",IF(IFERROR(INDEX($B$5:$B$204,MATCH($AE11,$A$5:$A$204,0))=$B11,TRUE()),"бизнес-пара — только со зданием другой компании; ",""))&amp;IF($Q11="","",IF(IFERROR(INDEX(НАУКА!$B$5:$B$44,MATCH($Q11,НАУКА!$A$5:$A$44,0))&lt;&gt;$B11,FALSE()),"патент другой компании — нужна лицензия или соглашение; ","")))</f>
        <v/>
      </c>
      <c r="AD11" s="44"/>
      <c r="AE11" s="44"/>
      <c r="AF11" s="38" t="str">
        <f aca="false">IF($C11="","",IF(AND($W11=1,OR($C11="Дом",$C11="Кафе")),ИНФА!$F$17*(COUNTIFS($B$5:$B11,$B11,$C$5:$C11,$C11,$W$5:$W11,1)&lt;=COUNTIFS($B$5:$B$204,$B11,$C$5:$C$204,"Парк",$W$5:$W$204,1)),0))</f>
        <v/>
      </c>
      <c r="AG11" s="38" t="str">
        <f aca="false">IF($C11="","",IF($W11=1,IF(OR(AND($AE11&lt;&gt;"",IFERROR(INDEX($W$5:$W$204,MATCH($AE11,$A$5:$A$204,0))=1,FALSE()),IFERROR(INDEX($B$5:$B$204,MATCH($AE11,$A$5:$A$204,0))&lt;&gt;$B11,FALSE())),COUNTIFS($AE$5:$AE$204,$A11,$W$5:$W$204,1,$B$5:$B$204,"&lt;&gt;"&amp;$B11)&gt;0),ИНФА!$F$31,0),0))</f>
        <v/>
      </c>
    </row>
    <row r="12" customFormat="false" ht="15" hidden="false" customHeight="false" outlineLevel="0" collapsed="false">
      <c r="A12" s="15" t="n">
        <v>8</v>
      </c>
      <c r="B12" s="44"/>
      <c r="C12" s="44"/>
      <c r="D12" s="44"/>
      <c r="E12" s="44"/>
      <c r="F12" s="43"/>
      <c r="G12" s="38" t="str">
        <f aca="false">IF($C12="","",IF($F12&lt;&gt;"",$F12,INDEX(ИНФА!$M$5:$M$19,MATCH($C12,ИНФА!$I$5:$I$19,0))))</f>
        <v/>
      </c>
      <c r="H12" s="43"/>
      <c r="I12" s="38" t="str">
        <f aca="false">IF($C12="","",G12-N(H12))</f>
        <v/>
      </c>
      <c r="J12" s="37" t="str">
        <f aca="false">IF($C12="","",INDEX(ИНФА!$J$5:$J$19,MATCH($C12,ИНФА!$I$5:$I$19,0)))</f>
        <v/>
      </c>
      <c r="K12" s="37" t="str">
        <f aca="false">IF($C12="","",INDEX(ИНФА!$K$5:$K$19,MATCH($C12,ИНФА!$I$5:$I$19,0)))</f>
        <v/>
      </c>
      <c r="L12" s="38" t="str">
        <f aca="false">IF($C12="","",INDEX(ИНФА!$O$5:$O$19,MATCH($C12,ИНФА!$I$5:$I$19,0)))</f>
        <v/>
      </c>
      <c r="M12" s="38" t="str">
        <f aca="false">IF($C12="","",INDEX(ИНФА!$P$5:$P$19,MATCH($C12,ИНФА!$I$5:$I$19,0)))</f>
        <v/>
      </c>
      <c r="N12" s="44"/>
      <c r="O12" s="48" t="n">
        <f aca="false">IF(OR($C12="",$N12=""),1,IF(AND($J12="Услуги",IFERROR(INDEX($C$5:$C$204,MATCH($N12,$A$5:$A$204,0))=INDEX(ИНФА!$L$5:$L$19,MATCH($C12,ИНФА!$I$5:$I$19,0)),FALSE()),IFERROR(INDEX($W$5:$W$204,MATCH($N12,$A$5:$A$204,0))=1,FALSE()),COUNTIF($N$5:$N12,$N12)&lt;=ИНФА!$F$16),1+ИНФА!$F$15,1))</f>
        <v>1</v>
      </c>
      <c r="P12" s="47" t="str">
        <f aca="false">IF($C12="","",IF($J12&lt;&gt;"Услуги","",IF($N12="","нет поставщика — нужен "&amp;INDEX(ИНФА!$L$5:$L$19,MATCH($C12,ИНФА!$I$5:$I$19,0)),IF($O12&gt;1,"✓ поставка работает (+50%)",IF(IFERROR(INDEX($C$5:$C$204,MATCH($N12,$A$5:$A$204,0))&lt;&gt;INDEX(ИНФА!$L$5:$L$19,MATCH($C12,ИНФА!$I$5:$I$19,0)),TRUE()),"не тот поставщик: нужен "&amp;INDEX(ИНФА!$L$5:$L$19,MATCH($C12,ИНФА!$I$5:$I$19,0)),IF(COUNTIF($N$5:$N12,$N12)&gt;ИНФА!$F$16,"поставщик перегружен","поставщик ещё не работает или продан"))))))</f>
        <v/>
      </c>
      <c r="Q12" s="44"/>
      <c r="R12" s="48" t="str">
        <f aca="false">IF($C12="","",IF($Q12="",1,IFERROR(INDEX(НАУКА!$K$5:$K$44,MATCH($Q12,НАУКА!$A$5:$A$44,0)),1)))</f>
        <v/>
      </c>
      <c r="S12" s="37" t="str">
        <f aca="false">IF($Q12="","",IFERROR(INDEX(НАУКА!$G$5:$G$44,MATCH($Q12,НАУКА!$A$5:$A$44,0)),""))</f>
        <v/>
      </c>
      <c r="T12" s="44"/>
      <c r="U12" s="44"/>
      <c r="V12" s="43"/>
      <c r="W12" s="37" t="n">
        <f aca="false">IF(OR($C12="",$D12=""),0,IF(AND($D12&lt;ИНФА!$F$5,OR($T12="",$T12&gt;=ИНФА!$F$5)),1,0))</f>
        <v>0</v>
      </c>
      <c r="X12" s="46" t="str">
        <f aca="false">IF($C12="","",INDEX(СОБЫТИЯ!$B$5:$K$8,MATCH($K12,СОБЫТИЯ!$A$5:$A$8,0),ИНФА!$F$5))</f>
        <v/>
      </c>
      <c r="Y12" s="42" t="str">
        <f aca="false">IF($C12="","",IF($W12=1,ROUND($L12*$O12*IF(AND($Q12&lt;&gt;"",$S12&lt;&gt;""),IF($S12&lt;ИНФА!$F$5,$R12,1),1)*$X12,0)-$M12+N($AF12)+N($AG12),0))</f>
        <v/>
      </c>
      <c r="Z12" s="38" t="str">
        <f aca="false">IF($C12="","",IF($T12="",INDEX(ИНФА!$M$5:$M$19,MATCH($C12,ИНФА!$I$5:$I$19,0)),0))</f>
        <v/>
      </c>
      <c r="AA12" s="38" t="str">
        <f aca="false">IF(OR($C12="",$T12=""),"",IF($V12&lt;&gt;"",$V12,INDEX(ИНФА!$N$5:$N$19,MATCH($C12,ИНФА!$I$5:$I$19,0))))</f>
        <v/>
      </c>
      <c r="AB12" s="37" t="str">
        <f aca="false">IF($C12="","",IF($T12&lt;&gt;"",IF($U12&lt;&gt;"","продано компании "&amp;$U12&amp;" в цикле "&amp;$T12,"продано Инфраструктуре в цикле "&amp;$T12),IF($D12&gt;=ИНФА!$F$5,"доход со следующего цикла","приносит доход")))</f>
        <v/>
      </c>
      <c r="AC12" s="47" t="str">
        <f aca="false">IF($C12="","",IF($F12="","",IF($E12="","укажите продавца; ",IF(OR($F12&lt;INDEX(ИНФА!$N$5:$N$19,MATCH($C12,ИНФА!$I$5:$I$19,0)),$F12&gt;INDEX(ИНФА!$M$5:$M$19,MATCH($C12,ИНФА!$I$5:$I$19,0))),"цена покупки вне коридора! ","")))&amp;IF($U12="","",IF(OR($V12="",$T12=""),"укажите цикл и цену продажи; ",IF(OR($V12&lt;INDEX(ИНФА!$N$5:$N$19,MATCH($C12,ИНФА!$I$5:$I$19,0)),$V12&gt;INDEX(ИНФА!$M$5:$M$19,MATCH($C12,ИНФА!$I$5:$I$19,0))),"цена продажи вне коридора! ","")))&amp;IF(AND($T12="",COUNTIFS($C$5:$C12,$C12,$T$5:$T12,"")&gt;INDEX(ИНФА!$Q$5:$Q$19,MATCH($C12,ИНФА!$I$5:$I$19,0))),"лотов нет! ","")&amp;IF(AND($E12&lt;&gt;"",$F12=""),"укажите цену сделки; ","")&amp;IF(AND(N($H12)&gt;0,OR($AD12="",$AD12="Профессия"),OR($H12&gt;ИНФА!$F$29,$I12&lt;INDEX(ИНФА!$N$5:$N$19,MATCH($C12,ИНФА!$I$5:$I$19,0))+ИНФА!$F$30)),"скидка больше лимита или цена ниже выкупа + 500! ","")&amp;IF($AE12="","",IF(IFERROR(INDEX($B$5:$B$204,MATCH($AE12,$A$5:$A$204,0))=$B12,TRUE()),"бизнес-пара — только со зданием другой компании; ",""))&amp;IF($Q12="","",IF(IFERROR(INDEX(НАУКА!$B$5:$B$44,MATCH($Q12,НАУКА!$A$5:$A$44,0))&lt;&gt;$B12,FALSE()),"патент другой компании — нужна лицензия или соглашение; ","")))</f>
        <v/>
      </c>
      <c r="AD12" s="44"/>
      <c r="AE12" s="44"/>
      <c r="AF12" s="38" t="str">
        <f aca="false">IF($C12="","",IF(AND($W12=1,OR($C12="Дом",$C12="Кафе")),ИНФА!$F$17*(COUNTIFS($B$5:$B12,$B12,$C$5:$C12,$C12,$W$5:$W12,1)&lt;=COUNTIFS($B$5:$B$204,$B12,$C$5:$C$204,"Парк",$W$5:$W$204,1)),0))</f>
        <v/>
      </c>
      <c r="AG12" s="38" t="str">
        <f aca="false">IF($C12="","",IF($W12=1,IF(OR(AND($AE12&lt;&gt;"",IFERROR(INDEX($W$5:$W$204,MATCH($AE12,$A$5:$A$204,0))=1,FALSE()),IFERROR(INDEX($B$5:$B$204,MATCH($AE12,$A$5:$A$204,0))&lt;&gt;$B12,FALSE())),COUNTIFS($AE$5:$AE$204,$A12,$W$5:$W$204,1,$B$5:$B$204,"&lt;&gt;"&amp;$B12)&gt;0),ИНФА!$F$31,0),0))</f>
        <v/>
      </c>
    </row>
    <row r="13" customFormat="false" ht="15" hidden="false" customHeight="false" outlineLevel="0" collapsed="false">
      <c r="A13" s="15" t="n">
        <v>9</v>
      </c>
      <c r="B13" s="44"/>
      <c r="C13" s="44"/>
      <c r="D13" s="44"/>
      <c r="E13" s="44"/>
      <c r="F13" s="43"/>
      <c r="G13" s="38" t="str">
        <f aca="false">IF($C13="","",IF($F13&lt;&gt;"",$F13,INDEX(ИНФА!$M$5:$M$19,MATCH($C13,ИНФА!$I$5:$I$19,0))))</f>
        <v/>
      </c>
      <c r="H13" s="43"/>
      <c r="I13" s="38" t="str">
        <f aca="false">IF($C13="","",G13-N(H13))</f>
        <v/>
      </c>
      <c r="J13" s="37" t="str">
        <f aca="false">IF($C13="","",INDEX(ИНФА!$J$5:$J$19,MATCH($C13,ИНФА!$I$5:$I$19,0)))</f>
        <v/>
      </c>
      <c r="K13" s="37" t="str">
        <f aca="false">IF($C13="","",INDEX(ИНФА!$K$5:$K$19,MATCH($C13,ИНФА!$I$5:$I$19,0)))</f>
        <v/>
      </c>
      <c r="L13" s="38" t="str">
        <f aca="false">IF($C13="","",INDEX(ИНФА!$O$5:$O$19,MATCH($C13,ИНФА!$I$5:$I$19,0)))</f>
        <v/>
      </c>
      <c r="M13" s="38" t="str">
        <f aca="false">IF($C13="","",INDEX(ИНФА!$P$5:$P$19,MATCH($C13,ИНФА!$I$5:$I$19,0)))</f>
        <v/>
      </c>
      <c r="N13" s="44"/>
      <c r="O13" s="48" t="n">
        <f aca="false">IF(OR($C13="",$N13=""),1,IF(AND($J13="Услуги",IFERROR(INDEX($C$5:$C$204,MATCH($N13,$A$5:$A$204,0))=INDEX(ИНФА!$L$5:$L$19,MATCH($C13,ИНФА!$I$5:$I$19,0)),FALSE()),IFERROR(INDEX($W$5:$W$204,MATCH($N13,$A$5:$A$204,0))=1,FALSE()),COUNTIF($N$5:$N13,$N13)&lt;=ИНФА!$F$16),1+ИНФА!$F$15,1))</f>
        <v>1</v>
      </c>
      <c r="P13" s="47" t="str">
        <f aca="false">IF($C13="","",IF($J13&lt;&gt;"Услуги","",IF($N13="","нет поставщика — нужен "&amp;INDEX(ИНФА!$L$5:$L$19,MATCH($C13,ИНФА!$I$5:$I$19,0)),IF($O13&gt;1,"✓ поставка работает (+50%)",IF(IFERROR(INDEX($C$5:$C$204,MATCH($N13,$A$5:$A$204,0))&lt;&gt;INDEX(ИНФА!$L$5:$L$19,MATCH($C13,ИНФА!$I$5:$I$19,0)),TRUE()),"не тот поставщик: нужен "&amp;INDEX(ИНФА!$L$5:$L$19,MATCH($C13,ИНФА!$I$5:$I$19,0)),IF(COUNTIF($N$5:$N13,$N13)&gt;ИНФА!$F$16,"поставщик перегружен","поставщик ещё не работает или продан"))))))</f>
        <v/>
      </c>
      <c r="Q13" s="44"/>
      <c r="R13" s="48" t="str">
        <f aca="false">IF($C13="","",IF($Q13="",1,IFERROR(INDEX(НАУКА!$K$5:$K$44,MATCH($Q13,НАУКА!$A$5:$A$44,0)),1)))</f>
        <v/>
      </c>
      <c r="S13" s="37" t="str">
        <f aca="false">IF($Q13="","",IFERROR(INDEX(НАУКА!$G$5:$G$44,MATCH($Q13,НАУКА!$A$5:$A$44,0)),""))</f>
        <v/>
      </c>
      <c r="T13" s="44"/>
      <c r="U13" s="44"/>
      <c r="V13" s="43"/>
      <c r="W13" s="37" t="n">
        <f aca="false">IF(OR($C13="",$D13=""),0,IF(AND($D13&lt;ИНФА!$F$5,OR($T13="",$T13&gt;=ИНФА!$F$5)),1,0))</f>
        <v>0</v>
      </c>
      <c r="X13" s="46" t="str">
        <f aca="false">IF($C13="","",INDEX(СОБЫТИЯ!$B$5:$K$8,MATCH($K13,СОБЫТИЯ!$A$5:$A$8,0),ИНФА!$F$5))</f>
        <v/>
      </c>
      <c r="Y13" s="42" t="str">
        <f aca="false">IF($C13="","",IF($W13=1,ROUND($L13*$O13*IF(AND($Q13&lt;&gt;"",$S13&lt;&gt;""),IF($S13&lt;ИНФА!$F$5,$R13,1),1)*$X13,0)-$M13+N($AF13)+N($AG13),0))</f>
        <v/>
      </c>
      <c r="Z13" s="38" t="str">
        <f aca="false">IF($C13="","",IF($T13="",INDEX(ИНФА!$M$5:$M$19,MATCH($C13,ИНФА!$I$5:$I$19,0)),0))</f>
        <v/>
      </c>
      <c r="AA13" s="38" t="str">
        <f aca="false">IF(OR($C13="",$T13=""),"",IF($V13&lt;&gt;"",$V13,INDEX(ИНФА!$N$5:$N$19,MATCH($C13,ИНФА!$I$5:$I$19,0))))</f>
        <v/>
      </c>
      <c r="AB13" s="37" t="str">
        <f aca="false">IF($C13="","",IF($T13&lt;&gt;"",IF($U13&lt;&gt;"","продано компании "&amp;$U13&amp;" в цикле "&amp;$T13,"продано Инфраструктуре в цикле "&amp;$T13),IF($D13&gt;=ИНФА!$F$5,"доход со следующего цикла","приносит доход")))</f>
        <v/>
      </c>
      <c r="AC13" s="47" t="str">
        <f aca="false">IF($C13="","",IF($F13="","",IF($E13="","укажите продавца; ",IF(OR($F13&lt;INDEX(ИНФА!$N$5:$N$19,MATCH($C13,ИНФА!$I$5:$I$19,0)),$F13&gt;INDEX(ИНФА!$M$5:$M$19,MATCH($C13,ИНФА!$I$5:$I$19,0))),"цена покупки вне коридора! ","")))&amp;IF($U13="","",IF(OR($V13="",$T13=""),"укажите цикл и цену продажи; ",IF(OR($V13&lt;INDEX(ИНФА!$N$5:$N$19,MATCH($C13,ИНФА!$I$5:$I$19,0)),$V13&gt;INDEX(ИНФА!$M$5:$M$19,MATCH($C13,ИНФА!$I$5:$I$19,0))),"цена продажи вне коридора! ","")))&amp;IF(AND($T13="",COUNTIFS($C$5:$C13,$C13,$T$5:$T13,"")&gt;INDEX(ИНФА!$Q$5:$Q$19,MATCH($C13,ИНФА!$I$5:$I$19,0))),"лотов нет! ","")&amp;IF(AND($E13&lt;&gt;"",$F13=""),"укажите цену сделки; ","")&amp;IF(AND(N($H13)&gt;0,OR($AD13="",$AD13="Профессия"),OR($H13&gt;ИНФА!$F$29,$I13&lt;INDEX(ИНФА!$N$5:$N$19,MATCH($C13,ИНФА!$I$5:$I$19,0))+ИНФА!$F$30)),"скидка больше лимита или цена ниже выкупа + 500! ","")&amp;IF($AE13="","",IF(IFERROR(INDEX($B$5:$B$204,MATCH($AE13,$A$5:$A$204,0))=$B13,TRUE()),"бизнес-пара — только со зданием другой компании; ",""))&amp;IF($Q13="","",IF(IFERROR(INDEX(НАУКА!$B$5:$B$44,MATCH($Q13,НАУКА!$A$5:$A$44,0))&lt;&gt;$B13,FALSE()),"патент другой компании — нужна лицензия или соглашение; ","")))</f>
        <v/>
      </c>
      <c r="AD13" s="44"/>
      <c r="AE13" s="44"/>
      <c r="AF13" s="38" t="str">
        <f aca="false">IF($C13="","",IF(AND($W13=1,OR($C13="Дом",$C13="Кафе")),ИНФА!$F$17*(COUNTIFS($B$5:$B13,$B13,$C$5:$C13,$C13,$W$5:$W13,1)&lt;=COUNTIFS($B$5:$B$204,$B13,$C$5:$C$204,"Парк",$W$5:$W$204,1)),0))</f>
        <v/>
      </c>
      <c r="AG13" s="38" t="str">
        <f aca="false">IF($C13="","",IF($W13=1,IF(OR(AND($AE13&lt;&gt;"",IFERROR(INDEX($W$5:$W$204,MATCH($AE13,$A$5:$A$204,0))=1,FALSE()),IFERROR(INDEX($B$5:$B$204,MATCH($AE13,$A$5:$A$204,0))&lt;&gt;$B13,FALSE())),COUNTIFS($AE$5:$AE$204,$A13,$W$5:$W$204,1,$B$5:$B$204,"&lt;&gt;"&amp;$B13)&gt;0),ИНФА!$F$31,0),0))</f>
        <v/>
      </c>
    </row>
    <row r="14" customFormat="false" ht="15" hidden="false" customHeight="false" outlineLevel="0" collapsed="false">
      <c r="A14" s="15" t="n">
        <v>10</v>
      </c>
      <c r="B14" s="44"/>
      <c r="C14" s="44"/>
      <c r="D14" s="44"/>
      <c r="E14" s="44"/>
      <c r="F14" s="43"/>
      <c r="G14" s="38" t="str">
        <f aca="false">IF($C14="","",IF($F14&lt;&gt;"",$F14,INDEX(ИНФА!$M$5:$M$19,MATCH($C14,ИНФА!$I$5:$I$19,0))))</f>
        <v/>
      </c>
      <c r="H14" s="43"/>
      <c r="I14" s="38" t="str">
        <f aca="false">IF($C14="","",G14-N(H14))</f>
        <v/>
      </c>
      <c r="J14" s="37" t="str">
        <f aca="false">IF($C14="","",INDEX(ИНФА!$J$5:$J$19,MATCH($C14,ИНФА!$I$5:$I$19,0)))</f>
        <v/>
      </c>
      <c r="K14" s="37" t="str">
        <f aca="false">IF($C14="","",INDEX(ИНФА!$K$5:$K$19,MATCH($C14,ИНФА!$I$5:$I$19,0)))</f>
        <v/>
      </c>
      <c r="L14" s="38" t="str">
        <f aca="false">IF($C14="","",INDEX(ИНФА!$O$5:$O$19,MATCH($C14,ИНФА!$I$5:$I$19,0)))</f>
        <v/>
      </c>
      <c r="M14" s="38" t="str">
        <f aca="false">IF($C14="","",INDEX(ИНФА!$P$5:$P$19,MATCH($C14,ИНФА!$I$5:$I$19,0)))</f>
        <v/>
      </c>
      <c r="N14" s="44"/>
      <c r="O14" s="48" t="n">
        <f aca="false">IF(OR($C14="",$N14=""),1,IF(AND($J14="Услуги",IFERROR(INDEX($C$5:$C$204,MATCH($N14,$A$5:$A$204,0))=INDEX(ИНФА!$L$5:$L$19,MATCH($C14,ИНФА!$I$5:$I$19,0)),FALSE()),IFERROR(INDEX($W$5:$W$204,MATCH($N14,$A$5:$A$204,0))=1,FALSE()),COUNTIF($N$5:$N14,$N14)&lt;=ИНФА!$F$16),1+ИНФА!$F$15,1))</f>
        <v>1</v>
      </c>
      <c r="P14" s="47" t="str">
        <f aca="false">IF($C14="","",IF($J14&lt;&gt;"Услуги","",IF($N14="","нет поставщика — нужен "&amp;INDEX(ИНФА!$L$5:$L$19,MATCH($C14,ИНФА!$I$5:$I$19,0)),IF($O14&gt;1,"✓ поставка работает (+50%)",IF(IFERROR(INDEX($C$5:$C$204,MATCH($N14,$A$5:$A$204,0))&lt;&gt;INDEX(ИНФА!$L$5:$L$19,MATCH($C14,ИНФА!$I$5:$I$19,0)),TRUE()),"не тот поставщик: нужен "&amp;INDEX(ИНФА!$L$5:$L$19,MATCH($C14,ИНФА!$I$5:$I$19,0)),IF(COUNTIF($N$5:$N14,$N14)&gt;ИНФА!$F$16,"поставщик перегружен","поставщик ещё не работает или продан"))))))</f>
        <v/>
      </c>
      <c r="Q14" s="44"/>
      <c r="R14" s="48" t="str">
        <f aca="false">IF($C14="","",IF($Q14="",1,IFERROR(INDEX(НАУКА!$K$5:$K$44,MATCH($Q14,НАУКА!$A$5:$A$44,0)),1)))</f>
        <v/>
      </c>
      <c r="S14" s="37" t="str">
        <f aca="false">IF($Q14="","",IFERROR(INDEX(НАУКА!$G$5:$G$44,MATCH($Q14,НАУКА!$A$5:$A$44,0)),""))</f>
        <v/>
      </c>
      <c r="T14" s="44"/>
      <c r="U14" s="44"/>
      <c r="V14" s="43"/>
      <c r="W14" s="37" t="n">
        <f aca="false">IF(OR($C14="",$D14=""),0,IF(AND($D14&lt;ИНФА!$F$5,OR($T14="",$T14&gt;=ИНФА!$F$5)),1,0))</f>
        <v>0</v>
      </c>
      <c r="X14" s="46" t="str">
        <f aca="false">IF($C14="","",INDEX(СОБЫТИЯ!$B$5:$K$8,MATCH($K14,СОБЫТИЯ!$A$5:$A$8,0),ИНФА!$F$5))</f>
        <v/>
      </c>
      <c r="Y14" s="42" t="str">
        <f aca="false">IF($C14="","",IF($W14=1,ROUND($L14*$O14*IF(AND($Q14&lt;&gt;"",$S14&lt;&gt;""),IF($S14&lt;ИНФА!$F$5,$R14,1),1)*$X14,0)-$M14+N($AF14)+N($AG14),0))</f>
        <v/>
      </c>
      <c r="Z14" s="38" t="str">
        <f aca="false">IF($C14="","",IF($T14="",INDEX(ИНФА!$M$5:$M$19,MATCH($C14,ИНФА!$I$5:$I$19,0)),0))</f>
        <v/>
      </c>
      <c r="AA14" s="38" t="str">
        <f aca="false">IF(OR($C14="",$T14=""),"",IF($V14&lt;&gt;"",$V14,INDEX(ИНФА!$N$5:$N$19,MATCH($C14,ИНФА!$I$5:$I$19,0))))</f>
        <v/>
      </c>
      <c r="AB14" s="37" t="str">
        <f aca="false">IF($C14="","",IF($T14&lt;&gt;"",IF($U14&lt;&gt;"","продано компании "&amp;$U14&amp;" в цикле "&amp;$T14,"продано Инфраструктуре в цикле "&amp;$T14),IF($D14&gt;=ИНФА!$F$5,"доход со следующего цикла","приносит доход")))</f>
        <v/>
      </c>
      <c r="AC14" s="47" t="str">
        <f aca="false">IF($C14="","",IF($F14="","",IF($E14="","укажите продавца; ",IF(OR($F14&lt;INDEX(ИНФА!$N$5:$N$19,MATCH($C14,ИНФА!$I$5:$I$19,0)),$F14&gt;INDEX(ИНФА!$M$5:$M$19,MATCH($C14,ИНФА!$I$5:$I$19,0))),"цена покупки вне коридора! ","")))&amp;IF($U14="","",IF(OR($V14="",$T14=""),"укажите цикл и цену продажи; ",IF(OR($V14&lt;INDEX(ИНФА!$N$5:$N$19,MATCH($C14,ИНФА!$I$5:$I$19,0)),$V14&gt;INDEX(ИНФА!$M$5:$M$19,MATCH($C14,ИНФА!$I$5:$I$19,0))),"цена продажи вне коридора! ","")))&amp;IF(AND($T14="",COUNTIFS($C$5:$C14,$C14,$T$5:$T14,"")&gt;INDEX(ИНФА!$Q$5:$Q$19,MATCH($C14,ИНФА!$I$5:$I$19,0))),"лотов нет! ","")&amp;IF(AND($E14&lt;&gt;"",$F14=""),"укажите цену сделки; ","")&amp;IF(AND(N($H14)&gt;0,OR($AD14="",$AD14="Профессия"),OR($H14&gt;ИНФА!$F$29,$I14&lt;INDEX(ИНФА!$N$5:$N$19,MATCH($C14,ИНФА!$I$5:$I$19,0))+ИНФА!$F$30)),"скидка больше лимита или цена ниже выкупа + 500! ","")&amp;IF($AE14="","",IF(IFERROR(INDEX($B$5:$B$204,MATCH($AE14,$A$5:$A$204,0))=$B14,TRUE()),"бизнес-пара — только со зданием другой компании; ",""))&amp;IF($Q14="","",IF(IFERROR(INDEX(НАУКА!$B$5:$B$44,MATCH($Q14,НАУКА!$A$5:$A$44,0))&lt;&gt;$B14,FALSE()),"патент другой компании — нужна лицензия или соглашение; ","")))</f>
        <v/>
      </c>
      <c r="AD14" s="44"/>
      <c r="AE14" s="44"/>
      <c r="AF14" s="38" t="str">
        <f aca="false">IF($C14="","",IF(AND($W14=1,OR($C14="Дом",$C14="Кафе")),ИНФА!$F$17*(COUNTIFS($B$5:$B14,$B14,$C$5:$C14,$C14,$W$5:$W14,1)&lt;=COUNTIFS($B$5:$B$204,$B14,$C$5:$C$204,"Парк",$W$5:$W$204,1)),0))</f>
        <v/>
      </c>
      <c r="AG14" s="38" t="str">
        <f aca="false">IF($C14="","",IF($W14=1,IF(OR(AND($AE14&lt;&gt;"",IFERROR(INDEX($W$5:$W$204,MATCH($AE14,$A$5:$A$204,0))=1,FALSE()),IFERROR(INDEX($B$5:$B$204,MATCH($AE14,$A$5:$A$204,0))&lt;&gt;$B14,FALSE())),COUNTIFS($AE$5:$AE$204,$A14,$W$5:$W$204,1,$B$5:$B$204,"&lt;&gt;"&amp;$B14)&gt;0),ИНФА!$F$31,0),0))</f>
        <v/>
      </c>
    </row>
    <row r="15" customFormat="false" ht="15" hidden="false" customHeight="false" outlineLevel="0" collapsed="false">
      <c r="A15" s="15" t="n">
        <v>11</v>
      </c>
      <c r="B15" s="44"/>
      <c r="C15" s="44"/>
      <c r="D15" s="44"/>
      <c r="E15" s="44"/>
      <c r="F15" s="43"/>
      <c r="G15" s="38" t="str">
        <f aca="false">IF($C15="","",IF($F15&lt;&gt;"",$F15,INDEX(ИНФА!$M$5:$M$19,MATCH($C15,ИНФА!$I$5:$I$19,0))))</f>
        <v/>
      </c>
      <c r="H15" s="43"/>
      <c r="I15" s="38" t="str">
        <f aca="false">IF($C15="","",G15-N(H15))</f>
        <v/>
      </c>
      <c r="J15" s="37" t="str">
        <f aca="false">IF($C15="","",INDEX(ИНФА!$J$5:$J$19,MATCH($C15,ИНФА!$I$5:$I$19,0)))</f>
        <v/>
      </c>
      <c r="K15" s="37" t="str">
        <f aca="false">IF($C15="","",INDEX(ИНФА!$K$5:$K$19,MATCH($C15,ИНФА!$I$5:$I$19,0)))</f>
        <v/>
      </c>
      <c r="L15" s="38" t="str">
        <f aca="false">IF($C15="","",INDEX(ИНФА!$O$5:$O$19,MATCH($C15,ИНФА!$I$5:$I$19,0)))</f>
        <v/>
      </c>
      <c r="M15" s="38" t="str">
        <f aca="false">IF($C15="","",INDEX(ИНФА!$P$5:$P$19,MATCH($C15,ИНФА!$I$5:$I$19,0)))</f>
        <v/>
      </c>
      <c r="N15" s="44"/>
      <c r="O15" s="48" t="n">
        <f aca="false">IF(OR($C15="",$N15=""),1,IF(AND($J15="Услуги",IFERROR(INDEX($C$5:$C$204,MATCH($N15,$A$5:$A$204,0))=INDEX(ИНФА!$L$5:$L$19,MATCH($C15,ИНФА!$I$5:$I$19,0)),FALSE()),IFERROR(INDEX($W$5:$W$204,MATCH($N15,$A$5:$A$204,0))=1,FALSE()),COUNTIF($N$5:$N15,$N15)&lt;=ИНФА!$F$16),1+ИНФА!$F$15,1))</f>
        <v>1</v>
      </c>
      <c r="P15" s="47" t="str">
        <f aca="false">IF($C15="","",IF($J15&lt;&gt;"Услуги","",IF($N15="","нет поставщика — нужен "&amp;INDEX(ИНФА!$L$5:$L$19,MATCH($C15,ИНФА!$I$5:$I$19,0)),IF($O15&gt;1,"✓ поставка работает (+50%)",IF(IFERROR(INDEX($C$5:$C$204,MATCH($N15,$A$5:$A$204,0))&lt;&gt;INDEX(ИНФА!$L$5:$L$19,MATCH($C15,ИНФА!$I$5:$I$19,0)),TRUE()),"не тот поставщик: нужен "&amp;INDEX(ИНФА!$L$5:$L$19,MATCH($C15,ИНФА!$I$5:$I$19,0)),IF(COUNTIF($N$5:$N15,$N15)&gt;ИНФА!$F$16,"поставщик перегружен","поставщик ещё не работает или продан"))))))</f>
        <v/>
      </c>
      <c r="Q15" s="44"/>
      <c r="R15" s="48" t="str">
        <f aca="false">IF($C15="","",IF($Q15="",1,IFERROR(INDEX(НАУКА!$K$5:$K$44,MATCH($Q15,НАУКА!$A$5:$A$44,0)),1)))</f>
        <v/>
      </c>
      <c r="S15" s="37" t="str">
        <f aca="false">IF($Q15="","",IFERROR(INDEX(НАУКА!$G$5:$G$44,MATCH($Q15,НАУКА!$A$5:$A$44,0)),""))</f>
        <v/>
      </c>
      <c r="T15" s="44"/>
      <c r="U15" s="44"/>
      <c r="V15" s="43"/>
      <c r="W15" s="37" t="n">
        <f aca="false">IF(OR($C15="",$D15=""),0,IF(AND($D15&lt;ИНФА!$F$5,OR($T15="",$T15&gt;=ИНФА!$F$5)),1,0))</f>
        <v>0</v>
      </c>
      <c r="X15" s="46" t="str">
        <f aca="false">IF($C15="","",INDEX(СОБЫТИЯ!$B$5:$K$8,MATCH($K15,СОБЫТИЯ!$A$5:$A$8,0),ИНФА!$F$5))</f>
        <v/>
      </c>
      <c r="Y15" s="42" t="str">
        <f aca="false">IF($C15="","",IF($W15=1,ROUND($L15*$O15*IF(AND($Q15&lt;&gt;"",$S15&lt;&gt;""),IF($S15&lt;ИНФА!$F$5,$R15,1),1)*$X15,0)-$M15+N($AF15)+N($AG15),0))</f>
        <v/>
      </c>
      <c r="Z15" s="38" t="str">
        <f aca="false">IF($C15="","",IF($T15="",INDEX(ИНФА!$M$5:$M$19,MATCH($C15,ИНФА!$I$5:$I$19,0)),0))</f>
        <v/>
      </c>
      <c r="AA15" s="38" t="str">
        <f aca="false">IF(OR($C15="",$T15=""),"",IF($V15&lt;&gt;"",$V15,INDEX(ИНФА!$N$5:$N$19,MATCH($C15,ИНФА!$I$5:$I$19,0))))</f>
        <v/>
      </c>
      <c r="AB15" s="37" t="str">
        <f aca="false">IF($C15="","",IF($T15&lt;&gt;"",IF($U15&lt;&gt;"","продано компании "&amp;$U15&amp;" в цикле "&amp;$T15,"продано Инфраструктуре в цикле "&amp;$T15),IF($D15&gt;=ИНФА!$F$5,"доход со следующего цикла","приносит доход")))</f>
        <v/>
      </c>
      <c r="AC15" s="47" t="str">
        <f aca="false">IF($C15="","",IF($F15="","",IF($E15="","укажите продавца; ",IF(OR($F15&lt;INDEX(ИНФА!$N$5:$N$19,MATCH($C15,ИНФА!$I$5:$I$19,0)),$F15&gt;INDEX(ИНФА!$M$5:$M$19,MATCH($C15,ИНФА!$I$5:$I$19,0))),"цена покупки вне коридора! ","")))&amp;IF($U15="","",IF(OR($V15="",$T15=""),"укажите цикл и цену продажи; ",IF(OR($V15&lt;INDEX(ИНФА!$N$5:$N$19,MATCH($C15,ИНФА!$I$5:$I$19,0)),$V15&gt;INDEX(ИНФА!$M$5:$M$19,MATCH($C15,ИНФА!$I$5:$I$19,0))),"цена продажи вне коридора! ","")))&amp;IF(AND($T15="",COUNTIFS($C$5:$C15,$C15,$T$5:$T15,"")&gt;INDEX(ИНФА!$Q$5:$Q$19,MATCH($C15,ИНФА!$I$5:$I$19,0))),"лотов нет! ","")&amp;IF(AND($E15&lt;&gt;"",$F15=""),"укажите цену сделки; ","")&amp;IF(AND(N($H15)&gt;0,OR($AD15="",$AD15="Профессия"),OR($H15&gt;ИНФА!$F$29,$I15&lt;INDEX(ИНФА!$N$5:$N$19,MATCH($C15,ИНФА!$I$5:$I$19,0))+ИНФА!$F$30)),"скидка больше лимита или цена ниже выкупа + 500! ","")&amp;IF($AE15="","",IF(IFERROR(INDEX($B$5:$B$204,MATCH($AE15,$A$5:$A$204,0))=$B15,TRUE()),"бизнес-пара — только со зданием другой компании; ",""))&amp;IF($Q15="","",IF(IFERROR(INDEX(НАУКА!$B$5:$B$44,MATCH($Q15,НАУКА!$A$5:$A$44,0))&lt;&gt;$B15,FALSE()),"патент другой компании — нужна лицензия или соглашение; ","")))</f>
        <v/>
      </c>
      <c r="AD15" s="44"/>
      <c r="AE15" s="44"/>
      <c r="AF15" s="38" t="str">
        <f aca="false">IF($C15="","",IF(AND($W15=1,OR($C15="Дом",$C15="Кафе")),ИНФА!$F$17*(COUNTIFS($B$5:$B15,$B15,$C$5:$C15,$C15,$W$5:$W15,1)&lt;=COUNTIFS($B$5:$B$204,$B15,$C$5:$C$204,"Парк",$W$5:$W$204,1)),0))</f>
        <v/>
      </c>
      <c r="AG15" s="38" t="str">
        <f aca="false">IF($C15="","",IF($W15=1,IF(OR(AND($AE15&lt;&gt;"",IFERROR(INDEX($W$5:$W$204,MATCH($AE15,$A$5:$A$204,0))=1,FALSE()),IFERROR(INDEX($B$5:$B$204,MATCH($AE15,$A$5:$A$204,0))&lt;&gt;$B15,FALSE())),COUNTIFS($AE$5:$AE$204,$A15,$W$5:$W$204,1,$B$5:$B$204,"&lt;&gt;"&amp;$B15)&gt;0),ИНФА!$F$31,0),0))</f>
        <v/>
      </c>
    </row>
    <row r="16" customFormat="false" ht="15" hidden="false" customHeight="false" outlineLevel="0" collapsed="false">
      <c r="A16" s="15" t="n">
        <v>12</v>
      </c>
      <c r="B16" s="44"/>
      <c r="C16" s="44"/>
      <c r="D16" s="44"/>
      <c r="E16" s="44"/>
      <c r="F16" s="43"/>
      <c r="G16" s="38" t="str">
        <f aca="false">IF($C16="","",IF($F16&lt;&gt;"",$F16,INDEX(ИНФА!$M$5:$M$19,MATCH($C16,ИНФА!$I$5:$I$19,0))))</f>
        <v/>
      </c>
      <c r="H16" s="43"/>
      <c r="I16" s="38" t="str">
        <f aca="false">IF($C16="","",G16-N(H16))</f>
        <v/>
      </c>
      <c r="J16" s="37" t="str">
        <f aca="false">IF($C16="","",INDEX(ИНФА!$J$5:$J$19,MATCH($C16,ИНФА!$I$5:$I$19,0)))</f>
        <v/>
      </c>
      <c r="K16" s="37" t="str">
        <f aca="false">IF($C16="","",INDEX(ИНФА!$K$5:$K$19,MATCH($C16,ИНФА!$I$5:$I$19,0)))</f>
        <v/>
      </c>
      <c r="L16" s="38" t="str">
        <f aca="false">IF($C16="","",INDEX(ИНФА!$O$5:$O$19,MATCH($C16,ИНФА!$I$5:$I$19,0)))</f>
        <v/>
      </c>
      <c r="M16" s="38" t="str">
        <f aca="false">IF($C16="","",INDEX(ИНФА!$P$5:$P$19,MATCH($C16,ИНФА!$I$5:$I$19,0)))</f>
        <v/>
      </c>
      <c r="N16" s="44"/>
      <c r="O16" s="48" t="n">
        <f aca="false">IF(OR($C16="",$N16=""),1,IF(AND($J16="Услуги",IFERROR(INDEX($C$5:$C$204,MATCH($N16,$A$5:$A$204,0))=INDEX(ИНФА!$L$5:$L$19,MATCH($C16,ИНФА!$I$5:$I$19,0)),FALSE()),IFERROR(INDEX($W$5:$W$204,MATCH($N16,$A$5:$A$204,0))=1,FALSE()),COUNTIF($N$5:$N16,$N16)&lt;=ИНФА!$F$16),1+ИНФА!$F$15,1))</f>
        <v>1</v>
      </c>
      <c r="P16" s="47" t="str">
        <f aca="false">IF($C16="","",IF($J16&lt;&gt;"Услуги","",IF($N16="","нет поставщика — нужен "&amp;INDEX(ИНФА!$L$5:$L$19,MATCH($C16,ИНФА!$I$5:$I$19,0)),IF($O16&gt;1,"✓ поставка работает (+50%)",IF(IFERROR(INDEX($C$5:$C$204,MATCH($N16,$A$5:$A$204,0))&lt;&gt;INDEX(ИНФА!$L$5:$L$19,MATCH($C16,ИНФА!$I$5:$I$19,0)),TRUE()),"не тот поставщик: нужен "&amp;INDEX(ИНФА!$L$5:$L$19,MATCH($C16,ИНФА!$I$5:$I$19,0)),IF(COUNTIF($N$5:$N16,$N16)&gt;ИНФА!$F$16,"поставщик перегружен","поставщик ещё не работает или продан"))))))</f>
        <v/>
      </c>
      <c r="Q16" s="44"/>
      <c r="R16" s="48" t="str">
        <f aca="false">IF($C16="","",IF($Q16="",1,IFERROR(INDEX(НАУКА!$K$5:$K$44,MATCH($Q16,НАУКА!$A$5:$A$44,0)),1)))</f>
        <v/>
      </c>
      <c r="S16" s="37" t="str">
        <f aca="false">IF($Q16="","",IFERROR(INDEX(НАУКА!$G$5:$G$44,MATCH($Q16,НАУКА!$A$5:$A$44,0)),""))</f>
        <v/>
      </c>
      <c r="T16" s="44"/>
      <c r="U16" s="44"/>
      <c r="V16" s="43"/>
      <c r="W16" s="37" t="n">
        <f aca="false">IF(OR($C16="",$D16=""),0,IF(AND($D16&lt;ИНФА!$F$5,OR($T16="",$T16&gt;=ИНФА!$F$5)),1,0))</f>
        <v>0</v>
      </c>
      <c r="X16" s="46" t="str">
        <f aca="false">IF($C16="","",INDEX(СОБЫТИЯ!$B$5:$K$8,MATCH($K16,СОБЫТИЯ!$A$5:$A$8,0),ИНФА!$F$5))</f>
        <v/>
      </c>
      <c r="Y16" s="42" t="str">
        <f aca="false">IF($C16="","",IF($W16=1,ROUND($L16*$O16*IF(AND($Q16&lt;&gt;"",$S16&lt;&gt;""),IF($S16&lt;ИНФА!$F$5,$R16,1),1)*$X16,0)-$M16+N($AF16)+N($AG16),0))</f>
        <v/>
      </c>
      <c r="Z16" s="38" t="str">
        <f aca="false">IF($C16="","",IF($T16="",INDEX(ИНФА!$M$5:$M$19,MATCH($C16,ИНФА!$I$5:$I$19,0)),0))</f>
        <v/>
      </c>
      <c r="AA16" s="38" t="str">
        <f aca="false">IF(OR($C16="",$T16=""),"",IF($V16&lt;&gt;"",$V16,INDEX(ИНФА!$N$5:$N$19,MATCH($C16,ИНФА!$I$5:$I$19,0))))</f>
        <v/>
      </c>
      <c r="AB16" s="37" t="str">
        <f aca="false">IF($C16="","",IF($T16&lt;&gt;"",IF($U16&lt;&gt;"","продано компании "&amp;$U16&amp;" в цикле "&amp;$T16,"продано Инфраструктуре в цикле "&amp;$T16),IF($D16&gt;=ИНФА!$F$5,"доход со следующего цикла","приносит доход")))</f>
        <v/>
      </c>
      <c r="AC16" s="47" t="str">
        <f aca="false">IF($C16="","",IF($F16="","",IF($E16="","укажите продавца; ",IF(OR($F16&lt;INDEX(ИНФА!$N$5:$N$19,MATCH($C16,ИНФА!$I$5:$I$19,0)),$F16&gt;INDEX(ИНФА!$M$5:$M$19,MATCH($C16,ИНФА!$I$5:$I$19,0))),"цена покупки вне коридора! ","")))&amp;IF($U16="","",IF(OR($V16="",$T16=""),"укажите цикл и цену продажи; ",IF(OR($V16&lt;INDEX(ИНФА!$N$5:$N$19,MATCH($C16,ИНФА!$I$5:$I$19,0)),$V16&gt;INDEX(ИНФА!$M$5:$M$19,MATCH($C16,ИНФА!$I$5:$I$19,0))),"цена продажи вне коридора! ","")))&amp;IF(AND($T16="",COUNTIFS($C$5:$C16,$C16,$T$5:$T16,"")&gt;INDEX(ИНФА!$Q$5:$Q$19,MATCH($C16,ИНФА!$I$5:$I$19,0))),"лотов нет! ","")&amp;IF(AND($E16&lt;&gt;"",$F16=""),"укажите цену сделки; ","")&amp;IF(AND(N($H16)&gt;0,OR($AD16="",$AD16="Профессия"),OR($H16&gt;ИНФА!$F$29,$I16&lt;INDEX(ИНФА!$N$5:$N$19,MATCH($C16,ИНФА!$I$5:$I$19,0))+ИНФА!$F$30)),"скидка больше лимита или цена ниже выкупа + 500! ","")&amp;IF($AE16="","",IF(IFERROR(INDEX($B$5:$B$204,MATCH($AE16,$A$5:$A$204,0))=$B16,TRUE()),"бизнес-пара — только со зданием другой компании; ",""))&amp;IF($Q16="","",IF(IFERROR(INDEX(НАУКА!$B$5:$B$44,MATCH($Q16,НАУКА!$A$5:$A$44,0))&lt;&gt;$B16,FALSE()),"патент другой компании — нужна лицензия или соглашение; ","")))</f>
        <v/>
      </c>
      <c r="AD16" s="44"/>
      <c r="AE16" s="44"/>
      <c r="AF16" s="38" t="str">
        <f aca="false">IF($C16="","",IF(AND($W16=1,OR($C16="Дом",$C16="Кафе")),ИНФА!$F$17*(COUNTIFS($B$5:$B16,$B16,$C$5:$C16,$C16,$W$5:$W16,1)&lt;=COUNTIFS($B$5:$B$204,$B16,$C$5:$C$204,"Парк",$W$5:$W$204,1)),0))</f>
        <v/>
      </c>
      <c r="AG16" s="38" t="str">
        <f aca="false">IF($C16="","",IF($W16=1,IF(OR(AND($AE16&lt;&gt;"",IFERROR(INDEX($W$5:$W$204,MATCH($AE16,$A$5:$A$204,0))=1,FALSE()),IFERROR(INDEX($B$5:$B$204,MATCH($AE16,$A$5:$A$204,0))&lt;&gt;$B16,FALSE())),COUNTIFS($AE$5:$AE$204,$A16,$W$5:$W$204,1,$B$5:$B$204,"&lt;&gt;"&amp;$B16)&gt;0),ИНФА!$F$31,0),0))</f>
        <v/>
      </c>
    </row>
    <row r="17" customFormat="false" ht="15" hidden="false" customHeight="false" outlineLevel="0" collapsed="false">
      <c r="A17" s="15" t="n">
        <v>13</v>
      </c>
      <c r="B17" s="44"/>
      <c r="C17" s="44"/>
      <c r="D17" s="44"/>
      <c r="E17" s="44"/>
      <c r="F17" s="43"/>
      <c r="G17" s="38" t="str">
        <f aca="false">IF($C17="","",IF($F17&lt;&gt;"",$F17,INDEX(ИНФА!$M$5:$M$19,MATCH($C17,ИНФА!$I$5:$I$19,0))))</f>
        <v/>
      </c>
      <c r="H17" s="43"/>
      <c r="I17" s="38" t="str">
        <f aca="false">IF($C17="","",G17-N(H17))</f>
        <v/>
      </c>
      <c r="J17" s="37" t="str">
        <f aca="false">IF($C17="","",INDEX(ИНФА!$J$5:$J$19,MATCH($C17,ИНФА!$I$5:$I$19,0)))</f>
        <v/>
      </c>
      <c r="K17" s="37" t="str">
        <f aca="false">IF($C17="","",INDEX(ИНФА!$K$5:$K$19,MATCH($C17,ИНФА!$I$5:$I$19,0)))</f>
        <v/>
      </c>
      <c r="L17" s="38" t="str">
        <f aca="false">IF($C17="","",INDEX(ИНФА!$O$5:$O$19,MATCH($C17,ИНФА!$I$5:$I$19,0)))</f>
        <v/>
      </c>
      <c r="M17" s="38" t="str">
        <f aca="false">IF($C17="","",INDEX(ИНФА!$P$5:$P$19,MATCH($C17,ИНФА!$I$5:$I$19,0)))</f>
        <v/>
      </c>
      <c r="N17" s="44"/>
      <c r="O17" s="48" t="n">
        <f aca="false">IF(OR($C17="",$N17=""),1,IF(AND($J17="Услуги",IFERROR(INDEX($C$5:$C$204,MATCH($N17,$A$5:$A$204,0))=INDEX(ИНФА!$L$5:$L$19,MATCH($C17,ИНФА!$I$5:$I$19,0)),FALSE()),IFERROR(INDEX($W$5:$W$204,MATCH($N17,$A$5:$A$204,0))=1,FALSE()),COUNTIF($N$5:$N17,$N17)&lt;=ИНФА!$F$16),1+ИНФА!$F$15,1))</f>
        <v>1</v>
      </c>
      <c r="P17" s="47" t="str">
        <f aca="false">IF($C17="","",IF($J17&lt;&gt;"Услуги","",IF($N17="","нет поставщика — нужен "&amp;INDEX(ИНФА!$L$5:$L$19,MATCH($C17,ИНФА!$I$5:$I$19,0)),IF($O17&gt;1,"✓ поставка работает (+50%)",IF(IFERROR(INDEX($C$5:$C$204,MATCH($N17,$A$5:$A$204,0))&lt;&gt;INDEX(ИНФА!$L$5:$L$19,MATCH($C17,ИНФА!$I$5:$I$19,0)),TRUE()),"не тот поставщик: нужен "&amp;INDEX(ИНФА!$L$5:$L$19,MATCH($C17,ИНФА!$I$5:$I$19,0)),IF(COUNTIF($N$5:$N17,$N17)&gt;ИНФА!$F$16,"поставщик перегружен","поставщик ещё не работает или продан"))))))</f>
        <v/>
      </c>
      <c r="Q17" s="44"/>
      <c r="R17" s="48" t="str">
        <f aca="false">IF($C17="","",IF($Q17="",1,IFERROR(INDEX(НАУКА!$K$5:$K$44,MATCH($Q17,НАУКА!$A$5:$A$44,0)),1)))</f>
        <v/>
      </c>
      <c r="S17" s="37" t="str">
        <f aca="false">IF($Q17="","",IFERROR(INDEX(НАУКА!$G$5:$G$44,MATCH($Q17,НАУКА!$A$5:$A$44,0)),""))</f>
        <v/>
      </c>
      <c r="T17" s="44"/>
      <c r="U17" s="44"/>
      <c r="V17" s="43"/>
      <c r="W17" s="37" t="n">
        <f aca="false">IF(OR($C17="",$D17=""),0,IF(AND($D17&lt;ИНФА!$F$5,OR($T17="",$T17&gt;=ИНФА!$F$5)),1,0))</f>
        <v>0</v>
      </c>
      <c r="X17" s="46" t="str">
        <f aca="false">IF($C17="","",INDEX(СОБЫТИЯ!$B$5:$K$8,MATCH($K17,СОБЫТИЯ!$A$5:$A$8,0),ИНФА!$F$5))</f>
        <v/>
      </c>
      <c r="Y17" s="42" t="str">
        <f aca="false">IF($C17="","",IF($W17=1,ROUND($L17*$O17*IF(AND($Q17&lt;&gt;"",$S17&lt;&gt;""),IF($S17&lt;ИНФА!$F$5,$R17,1),1)*$X17,0)-$M17+N($AF17)+N($AG17),0))</f>
        <v/>
      </c>
      <c r="Z17" s="38" t="str">
        <f aca="false">IF($C17="","",IF($T17="",INDEX(ИНФА!$M$5:$M$19,MATCH($C17,ИНФА!$I$5:$I$19,0)),0))</f>
        <v/>
      </c>
      <c r="AA17" s="38" t="str">
        <f aca="false">IF(OR($C17="",$T17=""),"",IF($V17&lt;&gt;"",$V17,INDEX(ИНФА!$N$5:$N$19,MATCH($C17,ИНФА!$I$5:$I$19,0))))</f>
        <v/>
      </c>
      <c r="AB17" s="37" t="str">
        <f aca="false">IF($C17="","",IF($T17&lt;&gt;"",IF($U17&lt;&gt;"","продано компании "&amp;$U17&amp;" в цикле "&amp;$T17,"продано Инфраструктуре в цикле "&amp;$T17),IF($D17&gt;=ИНФА!$F$5,"доход со следующего цикла","приносит доход")))</f>
        <v/>
      </c>
      <c r="AC17" s="47" t="str">
        <f aca="false">IF($C17="","",IF($F17="","",IF($E17="","укажите продавца; ",IF(OR($F17&lt;INDEX(ИНФА!$N$5:$N$19,MATCH($C17,ИНФА!$I$5:$I$19,0)),$F17&gt;INDEX(ИНФА!$M$5:$M$19,MATCH($C17,ИНФА!$I$5:$I$19,0))),"цена покупки вне коридора! ","")))&amp;IF($U17="","",IF(OR($V17="",$T17=""),"укажите цикл и цену продажи; ",IF(OR($V17&lt;INDEX(ИНФА!$N$5:$N$19,MATCH($C17,ИНФА!$I$5:$I$19,0)),$V17&gt;INDEX(ИНФА!$M$5:$M$19,MATCH($C17,ИНФА!$I$5:$I$19,0))),"цена продажи вне коридора! ","")))&amp;IF(AND($T17="",COUNTIFS($C$5:$C17,$C17,$T$5:$T17,"")&gt;INDEX(ИНФА!$Q$5:$Q$19,MATCH($C17,ИНФА!$I$5:$I$19,0))),"лотов нет! ","")&amp;IF(AND($E17&lt;&gt;"",$F17=""),"укажите цену сделки; ","")&amp;IF(AND(N($H17)&gt;0,OR($AD17="",$AD17="Профессия"),OR($H17&gt;ИНФА!$F$29,$I17&lt;INDEX(ИНФА!$N$5:$N$19,MATCH($C17,ИНФА!$I$5:$I$19,0))+ИНФА!$F$30)),"скидка больше лимита или цена ниже выкупа + 500! ","")&amp;IF($AE17="","",IF(IFERROR(INDEX($B$5:$B$204,MATCH($AE17,$A$5:$A$204,0))=$B17,TRUE()),"бизнес-пара — только со зданием другой компании; ",""))&amp;IF($Q17="","",IF(IFERROR(INDEX(НАУКА!$B$5:$B$44,MATCH($Q17,НАУКА!$A$5:$A$44,0))&lt;&gt;$B17,FALSE()),"патент другой компании — нужна лицензия или соглашение; ","")))</f>
        <v/>
      </c>
      <c r="AD17" s="44"/>
      <c r="AE17" s="44"/>
      <c r="AF17" s="38" t="str">
        <f aca="false">IF($C17="","",IF(AND($W17=1,OR($C17="Дом",$C17="Кафе")),ИНФА!$F$17*(COUNTIFS($B$5:$B17,$B17,$C$5:$C17,$C17,$W$5:$W17,1)&lt;=COUNTIFS($B$5:$B$204,$B17,$C$5:$C$204,"Парк",$W$5:$W$204,1)),0))</f>
        <v/>
      </c>
      <c r="AG17" s="38" t="str">
        <f aca="false">IF($C17="","",IF($W17=1,IF(OR(AND($AE17&lt;&gt;"",IFERROR(INDEX($W$5:$W$204,MATCH($AE17,$A$5:$A$204,0))=1,FALSE()),IFERROR(INDEX($B$5:$B$204,MATCH($AE17,$A$5:$A$204,0))&lt;&gt;$B17,FALSE())),COUNTIFS($AE$5:$AE$204,$A17,$W$5:$W$204,1,$B$5:$B$204,"&lt;&gt;"&amp;$B17)&gt;0),ИНФА!$F$31,0),0))</f>
        <v/>
      </c>
    </row>
    <row r="18" customFormat="false" ht="15" hidden="false" customHeight="false" outlineLevel="0" collapsed="false">
      <c r="A18" s="15" t="n">
        <v>14</v>
      </c>
      <c r="B18" s="44"/>
      <c r="C18" s="44"/>
      <c r="D18" s="44"/>
      <c r="E18" s="44"/>
      <c r="F18" s="43"/>
      <c r="G18" s="38" t="str">
        <f aca="false">IF($C18="","",IF($F18&lt;&gt;"",$F18,INDEX(ИНФА!$M$5:$M$19,MATCH($C18,ИНФА!$I$5:$I$19,0))))</f>
        <v/>
      </c>
      <c r="H18" s="43"/>
      <c r="I18" s="38" t="str">
        <f aca="false">IF($C18="","",G18-N(H18))</f>
        <v/>
      </c>
      <c r="J18" s="37" t="str">
        <f aca="false">IF($C18="","",INDEX(ИНФА!$J$5:$J$19,MATCH($C18,ИНФА!$I$5:$I$19,0)))</f>
        <v/>
      </c>
      <c r="K18" s="37" t="str">
        <f aca="false">IF($C18="","",INDEX(ИНФА!$K$5:$K$19,MATCH($C18,ИНФА!$I$5:$I$19,0)))</f>
        <v/>
      </c>
      <c r="L18" s="38" t="str">
        <f aca="false">IF($C18="","",INDEX(ИНФА!$O$5:$O$19,MATCH($C18,ИНФА!$I$5:$I$19,0)))</f>
        <v/>
      </c>
      <c r="M18" s="38" t="str">
        <f aca="false">IF($C18="","",INDEX(ИНФА!$P$5:$P$19,MATCH($C18,ИНФА!$I$5:$I$19,0)))</f>
        <v/>
      </c>
      <c r="N18" s="44"/>
      <c r="O18" s="48" t="n">
        <f aca="false">IF(OR($C18="",$N18=""),1,IF(AND($J18="Услуги",IFERROR(INDEX($C$5:$C$204,MATCH($N18,$A$5:$A$204,0))=INDEX(ИНФА!$L$5:$L$19,MATCH($C18,ИНФА!$I$5:$I$19,0)),FALSE()),IFERROR(INDEX($W$5:$W$204,MATCH($N18,$A$5:$A$204,0))=1,FALSE()),COUNTIF($N$5:$N18,$N18)&lt;=ИНФА!$F$16),1+ИНФА!$F$15,1))</f>
        <v>1</v>
      </c>
      <c r="P18" s="47" t="str">
        <f aca="false">IF($C18="","",IF($J18&lt;&gt;"Услуги","",IF($N18="","нет поставщика — нужен "&amp;INDEX(ИНФА!$L$5:$L$19,MATCH($C18,ИНФА!$I$5:$I$19,0)),IF($O18&gt;1,"✓ поставка работает (+50%)",IF(IFERROR(INDEX($C$5:$C$204,MATCH($N18,$A$5:$A$204,0))&lt;&gt;INDEX(ИНФА!$L$5:$L$19,MATCH($C18,ИНФА!$I$5:$I$19,0)),TRUE()),"не тот поставщик: нужен "&amp;INDEX(ИНФА!$L$5:$L$19,MATCH($C18,ИНФА!$I$5:$I$19,0)),IF(COUNTIF($N$5:$N18,$N18)&gt;ИНФА!$F$16,"поставщик перегружен","поставщик ещё не работает или продан"))))))</f>
        <v/>
      </c>
      <c r="Q18" s="44"/>
      <c r="R18" s="48" t="str">
        <f aca="false">IF($C18="","",IF($Q18="",1,IFERROR(INDEX(НАУКА!$K$5:$K$44,MATCH($Q18,НАУКА!$A$5:$A$44,0)),1)))</f>
        <v/>
      </c>
      <c r="S18" s="37" t="str">
        <f aca="false">IF($Q18="","",IFERROR(INDEX(НАУКА!$G$5:$G$44,MATCH($Q18,НАУКА!$A$5:$A$44,0)),""))</f>
        <v/>
      </c>
      <c r="T18" s="44"/>
      <c r="U18" s="44"/>
      <c r="V18" s="43"/>
      <c r="W18" s="37" t="n">
        <f aca="false">IF(OR($C18="",$D18=""),0,IF(AND($D18&lt;ИНФА!$F$5,OR($T18="",$T18&gt;=ИНФА!$F$5)),1,0))</f>
        <v>0</v>
      </c>
      <c r="X18" s="46" t="str">
        <f aca="false">IF($C18="","",INDEX(СОБЫТИЯ!$B$5:$K$8,MATCH($K18,СОБЫТИЯ!$A$5:$A$8,0),ИНФА!$F$5))</f>
        <v/>
      </c>
      <c r="Y18" s="42" t="str">
        <f aca="false">IF($C18="","",IF($W18=1,ROUND($L18*$O18*IF(AND($Q18&lt;&gt;"",$S18&lt;&gt;""),IF($S18&lt;ИНФА!$F$5,$R18,1),1)*$X18,0)-$M18+N($AF18)+N($AG18),0))</f>
        <v/>
      </c>
      <c r="Z18" s="38" t="str">
        <f aca="false">IF($C18="","",IF($T18="",INDEX(ИНФА!$M$5:$M$19,MATCH($C18,ИНФА!$I$5:$I$19,0)),0))</f>
        <v/>
      </c>
      <c r="AA18" s="38" t="str">
        <f aca="false">IF(OR($C18="",$T18=""),"",IF($V18&lt;&gt;"",$V18,INDEX(ИНФА!$N$5:$N$19,MATCH($C18,ИНФА!$I$5:$I$19,0))))</f>
        <v/>
      </c>
      <c r="AB18" s="37" t="str">
        <f aca="false">IF($C18="","",IF($T18&lt;&gt;"",IF($U18&lt;&gt;"","продано компании "&amp;$U18&amp;" в цикле "&amp;$T18,"продано Инфраструктуре в цикле "&amp;$T18),IF($D18&gt;=ИНФА!$F$5,"доход со следующего цикла","приносит доход")))</f>
        <v/>
      </c>
      <c r="AC18" s="47" t="str">
        <f aca="false">IF($C18="","",IF($F18="","",IF($E18="","укажите продавца; ",IF(OR($F18&lt;INDEX(ИНФА!$N$5:$N$19,MATCH($C18,ИНФА!$I$5:$I$19,0)),$F18&gt;INDEX(ИНФА!$M$5:$M$19,MATCH($C18,ИНФА!$I$5:$I$19,0))),"цена покупки вне коридора! ","")))&amp;IF($U18="","",IF(OR($V18="",$T18=""),"укажите цикл и цену продажи; ",IF(OR($V18&lt;INDEX(ИНФА!$N$5:$N$19,MATCH($C18,ИНФА!$I$5:$I$19,0)),$V18&gt;INDEX(ИНФА!$M$5:$M$19,MATCH($C18,ИНФА!$I$5:$I$19,0))),"цена продажи вне коридора! ","")))&amp;IF(AND($T18="",COUNTIFS($C$5:$C18,$C18,$T$5:$T18,"")&gt;INDEX(ИНФА!$Q$5:$Q$19,MATCH($C18,ИНФА!$I$5:$I$19,0))),"лотов нет! ","")&amp;IF(AND($E18&lt;&gt;"",$F18=""),"укажите цену сделки; ","")&amp;IF(AND(N($H18)&gt;0,OR($AD18="",$AD18="Профессия"),OR($H18&gt;ИНФА!$F$29,$I18&lt;INDEX(ИНФА!$N$5:$N$19,MATCH($C18,ИНФА!$I$5:$I$19,0))+ИНФА!$F$30)),"скидка больше лимита или цена ниже выкупа + 500! ","")&amp;IF($AE18="","",IF(IFERROR(INDEX($B$5:$B$204,MATCH($AE18,$A$5:$A$204,0))=$B18,TRUE()),"бизнес-пара — только со зданием другой компании; ",""))&amp;IF($Q18="","",IF(IFERROR(INDEX(НАУКА!$B$5:$B$44,MATCH($Q18,НАУКА!$A$5:$A$44,0))&lt;&gt;$B18,FALSE()),"патент другой компании — нужна лицензия или соглашение; ","")))</f>
        <v/>
      </c>
      <c r="AD18" s="44"/>
      <c r="AE18" s="44"/>
      <c r="AF18" s="38" t="str">
        <f aca="false">IF($C18="","",IF(AND($W18=1,OR($C18="Дом",$C18="Кафе")),ИНФА!$F$17*(COUNTIFS($B$5:$B18,$B18,$C$5:$C18,$C18,$W$5:$W18,1)&lt;=COUNTIFS($B$5:$B$204,$B18,$C$5:$C$204,"Парк",$W$5:$W$204,1)),0))</f>
        <v/>
      </c>
      <c r="AG18" s="38" t="str">
        <f aca="false">IF($C18="","",IF($W18=1,IF(OR(AND($AE18&lt;&gt;"",IFERROR(INDEX($W$5:$W$204,MATCH($AE18,$A$5:$A$204,0))=1,FALSE()),IFERROR(INDEX($B$5:$B$204,MATCH($AE18,$A$5:$A$204,0))&lt;&gt;$B18,FALSE())),COUNTIFS($AE$5:$AE$204,$A18,$W$5:$W$204,1,$B$5:$B$204,"&lt;&gt;"&amp;$B18)&gt;0),ИНФА!$F$31,0),0))</f>
        <v/>
      </c>
    </row>
    <row r="19" customFormat="false" ht="15" hidden="false" customHeight="false" outlineLevel="0" collapsed="false">
      <c r="A19" s="15" t="n">
        <v>15</v>
      </c>
      <c r="B19" s="44"/>
      <c r="C19" s="44"/>
      <c r="D19" s="44"/>
      <c r="E19" s="44"/>
      <c r="F19" s="43"/>
      <c r="G19" s="38" t="str">
        <f aca="false">IF($C19="","",IF($F19&lt;&gt;"",$F19,INDEX(ИНФА!$M$5:$M$19,MATCH($C19,ИНФА!$I$5:$I$19,0))))</f>
        <v/>
      </c>
      <c r="H19" s="43"/>
      <c r="I19" s="38" t="str">
        <f aca="false">IF($C19="","",G19-N(H19))</f>
        <v/>
      </c>
      <c r="J19" s="37" t="str">
        <f aca="false">IF($C19="","",INDEX(ИНФА!$J$5:$J$19,MATCH($C19,ИНФА!$I$5:$I$19,0)))</f>
        <v/>
      </c>
      <c r="K19" s="37" t="str">
        <f aca="false">IF($C19="","",INDEX(ИНФА!$K$5:$K$19,MATCH($C19,ИНФА!$I$5:$I$19,0)))</f>
        <v/>
      </c>
      <c r="L19" s="38" t="str">
        <f aca="false">IF($C19="","",INDEX(ИНФА!$O$5:$O$19,MATCH($C19,ИНФА!$I$5:$I$19,0)))</f>
        <v/>
      </c>
      <c r="M19" s="38" t="str">
        <f aca="false">IF($C19="","",INDEX(ИНФА!$P$5:$P$19,MATCH($C19,ИНФА!$I$5:$I$19,0)))</f>
        <v/>
      </c>
      <c r="N19" s="44"/>
      <c r="O19" s="48" t="n">
        <f aca="false">IF(OR($C19="",$N19=""),1,IF(AND($J19="Услуги",IFERROR(INDEX($C$5:$C$204,MATCH($N19,$A$5:$A$204,0))=INDEX(ИНФА!$L$5:$L$19,MATCH($C19,ИНФА!$I$5:$I$19,0)),FALSE()),IFERROR(INDEX($W$5:$W$204,MATCH($N19,$A$5:$A$204,0))=1,FALSE()),COUNTIF($N$5:$N19,$N19)&lt;=ИНФА!$F$16),1+ИНФА!$F$15,1))</f>
        <v>1</v>
      </c>
      <c r="P19" s="47" t="str">
        <f aca="false">IF($C19="","",IF($J19&lt;&gt;"Услуги","",IF($N19="","нет поставщика — нужен "&amp;INDEX(ИНФА!$L$5:$L$19,MATCH($C19,ИНФА!$I$5:$I$19,0)),IF($O19&gt;1,"✓ поставка работает (+50%)",IF(IFERROR(INDEX($C$5:$C$204,MATCH($N19,$A$5:$A$204,0))&lt;&gt;INDEX(ИНФА!$L$5:$L$19,MATCH($C19,ИНФА!$I$5:$I$19,0)),TRUE()),"не тот поставщик: нужен "&amp;INDEX(ИНФА!$L$5:$L$19,MATCH($C19,ИНФА!$I$5:$I$19,0)),IF(COUNTIF($N$5:$N19,$N19)&gt;ИНФА!$F$16,"поставщик перегружен","поставщик ещё не работает или продан"))))))</f>
        <v/>
      </c>
      <c r="Q19" s="44"/>
      <c r="R19" s="48" t="str">
        <f aca="false">IF($C19="","",IF($Q19="",1,IFERROR(INDEX(НАУКА!$K$5:$K$44,MATCH($Q19,НАУКА!$A$5:$A$44,0)),1)))</f>
        <v/>
      </c>
      <c r="S19" s="37" t="str">
        <f aca="false">IF($Q19="","",IFERROR(INDEX(НАУКА!$G$5:$G$44,MATCH($Q19,НАУКА!$A$5:$A$44,0)),""))</f>
        <v/>
      </c>
      <c r="T19" s="44"/>
      <c r="U19" s="44"/>
      <c r="V19" s="43"/>
      <c r="W19" s="37" t="n">
        <f aca="false">IF(OR($C19="",$D19=""),0,IF(AND($D19&lt;ИНФА!$F$5,OR($T19="",$T19&gt;=ИНФА!$F$5)),1,0))</f>
        <v>0</v>
      </c>
      <c r="X19" s="46" t="str">
        <f aca="false">IF($C19="","",INDEX(СОБЫТИЯ!$B$5:$K$8,MATCH($K19,СОБЫТИЯ!$A$5:$A$8,0),ИНФА!$F$5))</f>
        <v/>
      </c>
      <c r="Y19" s="42" t="str">
        <f aca="false">IF($C19="","",IF($W19=1,ROUND($L19*$O19*IF(AND($Q19&lt;&gt;"",$S19&lt;&gt;""),IF($S19&lt;ИНФА!$F$5,$R19,1),1)*$X19,0)-$M19+N($AF19)+N($AG19),0))</f>
        <v/>
      </c>
      <c r="Z19" s="38" t="str">
        <f aca="false">IF($C19="","",IF($T19="",INDEX(ИНФА!$M$5:$M$19,MATCH($C19,ИНФА!$I$5:$I$19,0)),0))</f>
        <v/>
      </c>
      <c r="AA19" s="38" t="str">
        <f aca="false">IF(OR($C19="",$T19=""),"",IF($V19&lt;&gt;"",$V19,INDEX(ИНФА!$N$5:$N$19,MATCH($C19,ИНФА!$I$5:$I$19,0))))</f>
        <v/>
      </c>
      <c r="AB19" s="37" t="str">
        <f aca="false">IF($C19="","",IF($T19&lt;&gt;"",IF($U19&lt;&gt;"","продано компании "&amp;$U19&amp;" в цикле "&amp;$T19,"продано Инфраструктуре в цикле "&amp;$T19),IF($D19&gt;=ИНФА!$F$5,"доход со следующего цикла","приносит доход")))</f>
        <v/>
      </c>
      <c r="AC19" s="47" t="str">
        <f aca="false">IF($C19="","",IF($F19="","",IF($E19="","укажите продавца; ",IF(OR($F19&lt;INDEX(ИНФА!$N$5:$N$19,MATCH($C19,ИНФА!$I$5:$I$19,0)),$F19&gt;INDEX(ИНФА!$M$5:$M$19,MATCH($C19,ИНФА!$I$5:$I$19,0))),"цена покупки вне коридора! ","")))&amp;IF($U19="","",IF(OR($V19="",$T19=""),"укажите цикл и цену продажи; ",IF(OR($V19&lt;INDEX(ИНФА!$N$5:$N$19,MATCH($C19,ИНФА!$I$5:$I$19,0)),$V19&gt;INDEX(ИНФА!$M$5:$M$19,MATCH($C19,ИНФА!$I$5:$I$19,0))),"цена продажи вне коридора! ","")))&amp;IF(AND($T19="",COUNTIFS($C$5:$C19,$C19,$T$5:$T19,"")&gt;INDEX(ИНФА!$Q$5:$Q$19,MATCH($C19,ИНФА!$I$5:$I$19,0))),"лотов нет! ","")&amp;IF(AND($E19&lt;&gt;"",$F19=""),"укажите цену сделки; ","")&amp;IF(AND(N($H19)&gt;0,OR($AD19="",$AD19="Профессия"),OR($H19&gt;ИНФА!$F$29,$I19&lt;INDEX(ИНФА!$N$5:$N$19,MATCH($C19,ИНФА!$I$5:$I$19,0))+ИНФА!$F$30)),"скидка больше лимита или цена ниже выкупа + 500! ","")&amp;IF($AE19="","",IF(IFERROR(INDEX($B$5:$B$204,MATCH($AE19,$A$5:$A$204,0))=$B19,TRUE()),"бизнес-пара — только со зданием другой компании; ",""))&amp;IF($Q19="","",IF(IFERROR(INDEX(НАУКА!$B$5:$B$44,MATCH($Q19,НАУКА!$A$5:$A$44,0))&lt;&gt;$B19,FALSE()),"патент другой компании — нужна лицензия или соглашение; ","")))</f>
        <v/>
      </c>
      <c r="AD19" s="44"/>
      <c r="AE19" s="44"/>
      <c r="AF19" s="38" t="str">
        <f aca="false">IF($C19="","",IF(AND($W19=1,OR($C19="Дом",$C19="Кафе")),ИНФА!$F$17*(COUNTIFS($B$5:$B19,$B19,$C$5:$C19,$C19,$W$5:$W19,1)&lt;=COUNTIFS($B$5:$B$204,$B19,$C$5:$C$204,"Парк",$W$5:$W$204,1)),0))</f>
        <v/>
      </c>
      <c r="AG19" s="38" t="str">
        <f aca="false">IF($C19="","",IF($W19=1,IF(OR(AND($AE19&lt;&gt;"",IFERROR(INDEX($W$5:$W$204,MATCH($AE19,$A$5:$A$204,0))=1,FALSE()),IFERROR(INDEX($B$5:$B$204,MATCH($AE19,$A$5:$A$204,0))&lt;&gt;$B19,FALSE())),COUNTIFS($AE$5:$AE$204,$A19,$W$5:$W$204,1,$B$5:$B$204,"&lt;&gt;"&amp;$B19)&gt;0),ИНФА!$F$31,0),0))</f>
        <v/>
      </c>
    </row>
    <row r="20" customFormat="false" ht="15" hidden="false" customHeight="false" outlineLevel="0" collapsed="false">
      <c r="A20" s="15" t="n">
        <v>16</v>
      </c>
      <c r="B20" s="44"/>
      <c r="C20" s="44"/>
      <c r="D20" s="44"/>
      <c r="E20" s="44"/>
      <c r="F20" s="43"/>
      <c r="G20" s="38" t="str">
        <f aca="false">IF($C20="","",IF($F20&lt;&gt;"",$F20,INDEX(ИНФА!$M$5:$M$19,MATCH($C20,ИНФА!$I$5:$I$19,0))))</f>
        <v/>
      </c>
      <c r="H20" s="43"/>
      <c r="I20" s="38" t="str">
        <f aca="false">IF($C20="","",G20-N(H20))</f>
        <v/>
      </c>
      <c r="J20" s="37" t="str">
        <f aca="false">IF($C20="","",INDEX(ИНФА!$J$5:$J$19,MATCH($C20,ИНФА!$I$5:$I$19,0)))</f>
        <v/>
      </c>
      <c r="K20" s="37" t="str">
        <f aca="false">IF($C20="","",INDEX(ИНФА!$K$5:$K$19,MATCH($C20,ИНФА!$I$5:$I$19,0)))</f>
        <v/>
      </c>
      <c r="L20" s="38" t="str">
        <f aca="false">IF($C20="","",INDEX(ИНФА!$O$5:$O$19,MATCH($C20,ИНФА!$I$5:$I$19,0)))</f>
        <v/>
      </c>
      <c r="M20" s="38" t="str">
        <f aca="false">IF($C20="","",INDEX(ИНФА!$P$5:$P$19,MATCH($C20,ИНФА!$I$5:$I$19,0)))</f>
        <v/>
      </c>
      <c r="N20" s="44"/>
      <c r="O20" s="48" t="n">
        <f aca="false">IF(OR($C20="",$N20=""),1,IF(AND($J20="Услуги",IFERROR(INDEX($C$5:$C$204,MATCH($N20,$A$5:$A$204,0))=INDEX(ИНФА!$L$5:$L$19,MATCH($C20,ИНФА!$I$5:$I$19,0)),FALSE()),IFERROR(INDEX($W$5:$W$204,MATCH($N20,$A$5:$A$204,0))=1,FALSE()),COUNTIF($N$5:$N20,$N20)&lt;=ИНФА!$F$16),1+ИНФА!$F$15,1))</f>
        <v>1</v>
      </c>
      <c r="P20" s="47" t="str">
        <f aca="false">IF($C20="","",IF($J20&lt;&gt;"Услуги","",IF($N20="","нет поставщика — нужен "&amp;INDEX(ИНФА!$L$5:$L$19,MATCH($C20,ИНФА!$I$5:$I$19,0)),IF($O20&gt;1,"✓ поставка работает (+50%)",IF(IFERROR(INDEX($C$5:$C$204,MATCH($N20,$A$5:$A$204,0))&lt;&gt;INDEX(ИНФА!$L$5:$L$19,MATCH($C20,ИНФА!$I$5:$I$19,0)),TRUE()),"не тот поставщик: нужен "&amp;INDEX(ИНФА!$L$5:$L$19,MATCH($C20,ИНФА!$I$5:$I$19,0)),IF(COUNTIF($N$5:$N20,$N20)&gt;ИНФА!$F$16,"поставщик перегружен","поставщик ещё не работает или продан"))))))</f>
        <v/>
      </c>
      <c r="Q20" s="44"/>
      <c r="R20" s="48" t="str">
        <f aca="false">IF($C20="","",IF($Q20="",1,IFERROR(INDEX(НАУКА!$K$5:$K$44,MATCH($Q20,НАУКА!$A$5:$A$44,0)),1)))</f>
        <v/>
      </c>
      <c r="S20" s="37" t="str">
        <f aca="false">IF($Q20="","",IFERROR(INDEX(НАУКА!$G$5:$G$44,MATCH($Q20,НАУКА!$A$5:$A$44,0)),""))</f>
        <v/>
      </c>
      <c r="T20" s="44"/>
      <c r="U20" s="44"/>
      <c r="V20" s="43"/>
      <c r="W20" s="37" t="n">
        <f aca="false">IF(OR($C20="",$D20=""),0,IF(AND($D20&lt;ИНФА!$F$5,OR($T20="",$T20&gt;=ИНФА!$F$5)),1,0))</f>
        <v>0</v>
      </c>
      <c r="X20" s="46" t="str">
        <f aca="false">IF($C20="","",INDEX(СОБЫТИЯ!$B$5:$K$8,MATCH($K20,СОБЫТИЯ!$A$5:$A$8,0),ИНФА!$F$5))</f>
        <v/>
      </c>
      <c r="Y20" s="42" t="str">
        <f aca="false">IF($C20="","",IF($W20=1,ROUND($L20*$O20*IF(AND($Q20&lt;&gt;"",$S20&lt;&gt;""),IF($S20&lt;ИНФА!$F$5,$R20,1),1)*$X20,0)-$M20+N($AF20)+N($AG20),0))</f>
        <v/>
      </c>
      <c r="Z20" s="38" t="str">
        <f aca="false">IF($C20="","",IF($T20="",INDEX(ИНФА!$M$5:$M$19,MATCH($C20,ИНФА!$I$5:$I$19,0)),0))</f>
        <v/>
      </c>
      <c r="AA20" s="38" t="str">
        <f aca="false">IF(OR($C20="",$T20=""),"",IF($V20&lt;&gt;"",$V20,INDEX(ИНФА!$N$5:$N$19,MATCH($C20,ИНФА!$I$5:$I$19,0))))</f>
        <v/>
      </c>
      <c r="AB20" s="37" t="str">
        <f aca="false">IF($C20="","",IF($T20&lt;&gt;"",IF($U20&lt;&gt;"","продано компании "&amp;$U20&amp;" в цикле "&amp;$T20,"продано Инфраструктуре в цикле "&amp;$T20),IF($D20&gt;=ИНФА!$F$5,"доход со следующего цикла","приносит доход")))</f>
        <v/>
      </c>
      <c r="AC20" s="47" t="str">
        <f aca="false">IF($C20="","",IF($F20="","",IF($E20="","укажите продавца; ",IF(OR($F20&lt;INDEX(ИНФА!$N$5:$N$19,MATCH($C20,ИНФА!$I$5:$I$19,0)),$F20&gt;INDEX(ИНФА!$M$5:$M$19,MATCH($C20,ИНФА!$I$5:$I$19,0))),"цена покупки вне коридора! ","")))&amp;IF($U20="","",IF(OR($V20="",$T20=""),"укажите цикл и цену продажи; ",IF(OR($V20&lt;INDEX(ИНФА!$N$5:$N$19,MATCH($C20,ИНФА!$I$5:$I$19,0)),$V20&gt;INDEX(ИНФА!$M$5:$M$19,MATCH($C20,ИНФА!$I$5:$I$19,0))),"цена продажи вне коридора! ","")))&amp;IF(AND($T20="",COUNTIFS($C$5:$C20,$C20,$T$5:$T20,"")&gt;INDEX(ИНФА!$Q$5:$Q$19,MATCH($C20,ИНФА!$I$5:$I$19,0))),"лотов нет! ","")&amp;IF(AND($E20&lt;&gt;"",$F20=""),"укажите цену сделки; ","")&amp;IF(AND(N($H20)&gt;0,OR($AD20="",$AD20="Профессия"),OR($H20&gt;ИНФА!$F$29,$I20&lt;INDEX(ИНФА!$N$5:$N$19,MATCH($C20,ИНФА!$I$5:$I$19,0))+ИНФА!$F$30)),"скидка больше лимита или цена ниже выкупа + 500! ","")&amp;IF($AE20="","",IF(IFERROR(INDEX($B$5:$B$204,MATCH($AE20,$A$5:$A$204,0))=$B20,TRUE()),"бизнес-пара — только со зданием другой компании; ",""))&amp;IF($Q20="","",IF(IFERROR(INDEX(НАУКА!$B$5:$B$44,MATCH($Q20,НАУКА!$A$5:$A$44,0))&lt;&gt;$B20,FALSE()),"патент другой компании — нужна лицензия или соглашение; ","")))</f>
        <v/>
      </c>
      <c r="AD20" s="44"/>
      <c r="AE20" s="44"/>
      <c r="AF20" s="38" t="str">
        <f aca="false">IF($C20="","",IF(AND($W20=1,OR($C20="Дом",$C20="Кафе")),ИНФА!$F$17*(COUNTIFS($B$5:$B20,$B20,$C$5:$C20,$C20,$W$5:$W20,1)&lt;=COUNTIFS($B$5:$B$204,$B20,$C$5:$C$204,"Парк",$W$5:$W$204,1)),0))</f>
        <v/>
      </c>
      <c r="AG20" s="38" t="str">
        <f aca="false">IF($C20="","",IF($W20=1,IF(OR(AND($AE20&lt;&gt;"",IFERROR(INDEX($W$5:$W$204,MATCH($AE20,$A$5:$A$204,0))=1,FALSE()),IFERROR(INDEX($B$5:$B$204,MATCH($AE20,$A$5:$A$204,0))&lt;&gt;$B20,FALSE())),COUNTIFS($AE$5:$AE$204,$A20,$W$5:$W$204,1,$B$5:$B$204,"&lt;&gt;"&amp;$B20)&gt;0),ИНФА!$F$31,0),0))</f>
        <v/>
      </c>
    </row>
    <row r="21" customFormat="false" ht="15" hidden="false" customHeight="false" outlineLevel="0" collapsed="false">
      <c r="A21" s="15" t="n">
        <v>17</v>
      </c>
      <c r="B21" s="44"/>
      <c r="C21" s="44"/>
      <c r="D21" s="44"/>
      <c r="E21" s="44"/>
      <c r="F21" s="43"/>
      <c r="G21" s="38" t="str">
        <f aca="false">IF($C21="","",IF($F21&lt;&gt;"",$F21,INDEX(ИНФА!$M$5:$M$19,MATCH($C21,ИНФА!$I$5:$I$19,0))))</f>
        <v/>
      </c>
      <c r="H21" s="43"/>
      <c r="I21" s="38" t="str">
        <f aca="false">IF($C21="","",G21-N(H21))</f>
        <v/>
      </c>
      <c r="J21" s="37" t="str">
        <f aca="false">IF($C21="","",INDEX(ИНФА!$J$5:$J$19,MATCH($C21,ИНФА!$I$5:$I$19,0)))</f>
        <v/>
      </c>
      <c r="K21" s="37" t="str">
        <f aca="false">IF($C21="","",INDEX(ИНФА!$K$5:$K$19,MATCH($C21,ИНФА!$I$5:$I$19,0)))</f>
        <v/>
      </c>
      <c r="L21" s="38" t="str">
        <f aca="false">IF($C21="","",INDEX(ИНФА!$O$5:$O$19,MATCH($C21,ИНФА!$I$5:$I$19,0)))</f>
        <v/>
      </c>
      <c r="M21" s="38" t="str">
        <f aca="false">IF($C21="","",INDEX(ИНФА!$P$5:$P$19,MATCH($C21,ИНФА!$I$5:$I$19,0)))</f>
        <v/>
      </c>
      <c r="N21" s="44"/>
      <c r="O21" s="48" t="n">
        <f aca="false">IF(OR($C21="",$N21=""),1,IF(AND($J21="Услуги",IFERROR(INDEX($C$5:$C$204,MATCH($N21,$A$5:$A$204,0))=INDEX(ИНФА!$L$5:$L$19,MATCH($C21,ИНФА!$I$5:$I$19,0)),FALSE()),IFERROR(INDEX($W$5:$W$204,MATCH($N21,$A$5:$A$204,0))=1,FALSE()),COUNTIF($N$5:$N21,$N21)&lt;=ИНФА!$F$16),1+ИНФА!$F$15,1))</f>
        <v>1</v>
      </c>
      <c r="P21" s="47" t="str">
        <f aca="false">IF($C21="","",IF($J21&lt;&gt;"Услуги","",IF($N21="","нет поставщика — нужен "&amp;INDEX(ИНФА!$L$5:$L$19,MATCH($C21,ИНФА!$I$5:$I$19,0)),IF($O21&gt;1,"✓ поставка работает (+50%)",IF(IFERROR(INDEX($C$5:$C$204,MATCH($N21,$A$5:$A$204,0))&lt;&gt;INDEX(ИНФА!$L$5:$L$19,MATCH($C21,ИНФА!$I$5:$I$19,0)),TRUE()),"не тот поставщик: нужен "&amp;INDEX(ИНФА!$L$5:$L$19,MATCH($C21,ИНФА!$I$5:$I$19,0)),IF(COUNTIF($N$5:$N21,$N21)&gt;ИНФА!$F$16,"поставщик перегружен","поставщик ещё не работает или продан"))))))</f>
        <v/>
      </c>
      <c r="Q21" s="44"/>
      <c r="R21" s="48" t="str">
        <f aca="false">IF($C21="","",IF($Q21="",1,IFERROR(INDEX(НАУКА!$K$5:$K$44,MATCH($Q21,НАУКА!$A$5:$A$44,0)),1)))</f>
        <v/>
      </c>
      <c r="S21" s="37" t="str">
        <f aca="false">IF($Q21="","",IFERROR(INDEX(НАУКА!$G$5:$G$44,MATCH($Q21,НАУКА!$A$5:$A$44,0)),""))</f>
        <v/>
      </c>
      <c r="T21" s="44"/>
      <c r="U21" s="44"/>
      <c r="V21" s="43"/>
      <c r="W21" s="37" t="n">
        <f aca="false">IF(OR($C21="",$D21=""),0,IF(AND($D21&lt;ИНФА!$F$5,OR($T21="",$T21&gt;=ИНФА!$F$5)),1,0))</f>
        <v>0</v>
      </c>
      <c r="X21" s="46" t="str">
        <f aca="false">IF($C21="","",INDEX(СОБЫТИЯ!$B$5:$K$8,MATCH($K21,СОБЫТИЯ!$A$5:$A$8,0),ИНФА!$F$5))</f>
        <v/>
      </c>
      <c r="Y21" s="42" t="str">
        <f aca="false">IF($C21="","",IF($W21=1,ROUND($L21*$O21*IF(AND($Q21&lt;&gt;"",$S21&lt;&gt;""),IF($S21&lt;ИНФА!$F$5,$R21,1),1)*$X21,0)-$M21+N($AF21)+N($AG21),0))</f>
        <v/>
      </c>
      <c r="Z21" s="38" t="str">
        <f aca="false">IF($C21="","",IF($T21="",INDEX(ИНФА!$M$5:$M$19,MATCH($C21,ИНФА!$I$5:$I$19,0)),0))</f>
        <v/>
      </c>
      <c r="AA21" s="38" t="str">
        <f aca="false">IF(OR($C21="",$T21=""),"",IF($V21&lt;&gt;"",$V21,INDEX(ИНФА!$N$5:$N$19,MATCH($C21,ИНФА!$I$5:$I$19,0))))</f>
        <v/>
      </c>
      <c r="AB21" s="37" t="str">
        <f aca="false">IF($C21="","",IF($T21&lt;&gt;"",IF($U21&lt;&gt;"","продано компании "&amp;$U21&amp;" в цикле "&amp;$T21,"продано Инфраструктуре в цикле "&amp;$T21),IF($D21&gt;=ИНФА!$F$5,"доход со следующего цикла","приносит доход")))</f>
        <v/>
      </c>
      <c r="AC21" s="47" t="str">
        <f aca="false">IF($C21="","",IF($F21="","",IF($E21="","укажите продавца; ",IF(OR($F21&lt;INDEX(ИНФА!$N$5:$N$19,MATCH($C21,ИНФА!$I$5:$I$19,0)),$F21&gt;INDEX(ИНФА!$M$5:$M$19,MATCH($C21,ИНФА!$I$5:$I$19,0))),"цена покупки вне коридора! ","")))&amp;IF($U21="","",IF(OR($V21="",$T21=""),"укажите цикл и цену продажи; ",IF(OR($V21&lt;INDEX(ИНФА!$N$5:$N$19,MATCH($C21,ИНФА!$I$5:$I$19,0)),$V21&gt;INDEX(ИНФА!$M$5:$M$19,MATCH($C21,ИНФА!$I$5:$I$19,0))),"цена продажи вне коридора! ","")))&amp;IF(AND($T21="",COUNTIFS($C$5:$C21,$C21,$T$5:$T21,"")&gt;INDEX(ИНФА!$Q$5:$Q$19,MATCH($C21,ИНФА!$I$5:$I$19,0))),"лотов нет! ","")&amp;IF(AND($E21&lt;&gt;"",$F21=""),"укажите цену сделки; ","")&amp;IF(AND(N($H21)&gt;0,OR($AD21="",$AD21="Профессия"),OR($H21&gt;ИНФА!$F$29,$I21&lt;INDEX(ИНФА!$N$5:$N$19,MATCH($C21,ИНФА!$I$5:$I$19,0))+ИНФА!$F$30)),"скидка больше лимита или цена ниже выкупа + 500! ","")&amp;IF($AE21="","",IF(IFERROR(INDEX($B$5:$B$204,MATCH($AE21,$A$5:$A$204,0))=$B21,TRUE()),"бизнес-пара — только со зданием другой компании; ",""))&amp;IF($Q21="","",IF(IFERROR(INDEX(НАУКА!$B$5:$B$44,MATCH($Q21,НАУКА!$A$5:$A$44,0))&lt;&gt;$B21,FALSE()),"патент другой компании — нужна лицензия или соглашение; ","")))</f>
        <v/>
      </c>
      <c r="AD21" s="44"/>
      <c r="AE21" s="44"/>
      <c r="AF21" s="38" t="str">
        <f aca="false">IF($C21="","",IF(AND($W21=1,OR($C21="Дом",$C21="Кафе")),ИНФА!$F$17*(COUNTIFS($B$5:$B21,$B21,$C$5:$C21,$C21,$W$5:$W21,1)&lt;=COUNTIFS($B$5:$B$204,$B21,$C$5:$C$204,"Парк",$W$5:$W$204,1)),0))</f>
        <v/>
      </c>
      <c r="AG21" s="38" t="str">
        <f aca="false">IF($C21="","",IF($W21=1,IF(OR(AND($AE21&lt;&gt;"",IFERROR(INDEX($W$5:$W$204,MATCH($AE21,$A$5:$A$204,0))=1,FALSE()),IFERROR(INDEX($B$5:$B$204,MATCH($AE21,$A$5:$A$204,0))&lt;&gt;$B21,FALSE())),COUNTIFS($AE$5:$AE$204,$A21,$W$5:$W$204,1,$B$5:$B$204,"&lt;&gt;"&amp;$B21)&gt;0),ИНФА!$F$31,0),0))</f>
        <v/>
      </c>
    </row>
    <row r="22" customFormat="false" ht="15" hidden="false" customHeight="false" outlineLevel="0" collapsed="false">
      <c r="A22" s="15" t="n">
        <v>18</v>
      </c>
      <c r="B22" s="44"/>
      <c r="C22" s="44"/>
      <c r="D22" s="44"/>
      <c r="E22" s="44"/>
      <c r="F22" s="43"/>
      <c r="G22" s="38" t="str">
        <f aca="false">IF($C22="","",IF($F22&lt;&gt;"",$F22,INDEX(ИНФА!$M$5:$M$19,MATCH($C22,ИНФА!$I$5:$I$19,0))))</f>
        <v/>
      </c>
      <c r="H22" s="43"/>
      <c r="I22" s="38" t="str">
        <f aca="false">IF($C22="","",G22-N(H22))</f>
        <v/>
      </c>
      <c r="J22" s="37" t="str">
        <f aca="false">IF($C22="","",INDEX(ИНФА!$J$5:$J$19,MATCH($C22,ИНФА!$I$5:$I$19,0)))</f>
        <v/>
      </c>
      <c r="K22" s="37" t="str">
        <f aca="false">IF($C22="","",INDEX(ИНФА!$K$5:$K$19,MATCH($C22,ИНФА!$I$5:$I$19,0)))</f>
        <v/>
      </c>
      <c r="L22" s="38" t="str">
        <f aca="false">IF($C22="","",INDEX(ИНФА!$O$5:$O$19,MATCH($C22,ИНФА!$I$5:$I$19,0)))</f>
        <v/>
      </c>
      <c r="M22" s="38" t="str">
        <f aca="false">IF($C22="","",INDEX(ИНФА!$P$5:$P$19,MATCH($C22,ИНФА!$I$5:$I$19,0)))</f>
        <v/>
      </c>
      <c r="N22" s="44"/>
      <c r="O22" s="48" t="n">
        <f aca="false">IF(OR($C22="",$N22=""),1,IF(AND($J22="Услуги",IFERROR(INDEX($C$5:$C$204,MATCH($N22,$A$5:$A$204,0))=INDEX(ИНФА!$L$5:$L$19,MATCH($C22,ИНФА!$I$5:$I$19,0)),FALSE()),IFERROR(INDEX($W$5:$W$204,MATCH($N22,$A$5:$A$204,0))=1,FALSE()),COUNTIF($N$5:$N22,$N22)&lt;=ИНФА!$F$16),1+ИНФА!$F$15,1))</f>
        <v>1</v>
      </c>
      <c r="P22" s="47" t="str">
        <f aca="false">IF($C22="","",IF($J22&lt;&gt;"Услуги","",IF($N22="","нет поставщика — нужен "&amp;INDEX(ИНФА!$L$5:$L$19,MATCH($C22,ИНФА!$I$5:$I$19,0)),IF($O22&gt;1,"✓ поставка работает (+50%)",IF(IFERROR(INDEX($C$5:$C$204,MATCH($N22,$A$5:$A$204,0))&lt;&gt;INDEX(ИНФА!$L$5:$L$19,MATCH($C22,ИНФА!$I$5:$I$19,0)),TRUE()),"не тот поставщик: нужен "&amp;INDEX(ИНФА!$L$5:$L$19,MATCH($C22,ИНФА!$I$5:$I$19,0)),IF(COUNTIF($N$5:$N22,$N22)&gt;ИНФА!$F$16,"поставщик перегружен","поставщик ещё не работает или продан"))))))</f>
        <v/>
      </c>
      <c r="Q22" s="44"/>
      <c r="R22" s="48" t="str">
        <f aca="false">IF($C22="","",IF($Q22="",1,IFERROR(INDEX(НАУКА!$K$5:$K$44,MATCH($Q22,НАУКА!$A$5:$A$44,0)),1)))</f>
        <v/>
      </c>
      <c r="S22" s="37" t="str">
        <f aca="false">IF($Q22="","",IFERROR(INDEX(НАУКА!$G$5:$G$44,MATCH($Q22,НАУКА!$A$5:$A$44,0)),""))</f>
        <v/>
      </c>
      <c r="T22" s="44"/>
      <c r="U22" s="44"/>
      <c r="V22" s="43"/>
      <c r="W22" s="37" t="n">
        <f aca="false">IF(OR($C22="",$D22=""),0,IF(AND($D22&lt;ИНФА!$F$5,OR($T22="",$T22&gt;=ИНФА!$F$5)),1,0))</f>
        <v>0</v>
      </c>
      <c r="X22" s="46" t="str">
        <f aca="false">IF($C22="","",INDEX(СОБЫТИЯ!$B$5:$K$8,MATCH($K22,СОБЫТИЯ!$A$5:$A$8,0),ИНФА!$F$5))</f>
        <v/>
      </c>
      <c r="Y22" s="42" t="str">
        <f aca="false">IF($C22="","",IF($W22=1,ROUND($L22*$O22*IF(AND($Q22&lt;&gt;"",$S22&lt;&gt;""),IF($S22&lt;ИНФА!$F$5,$R22,1),1)*$X22,0)-$M22+N($AF22)+N($AG22),0))</f>
        <v/>
      </c>
      <c r="Z22" s="38" t="str">
        <f aca="false">IF($C22="","",IF($T22="",INDEX(ИНФА!$M$5:$M$19,MATCH($C22,ИНФА!$I$5:$I$19,0)),0))</f>
        <v/>
      </c>
      <c r="AA22" s="38" t="str">
        <f aca="false">IF(OR($C22="",$T22=""),"",IF($V22&lt;&gt;"",$V22,INDEX(ИНФА!$N$5:$N$19,MATCH($C22,ИНФА!$I$5:$I$19,0))))</f>
        <v/>
      </c>
      <c r="AB22" s="37" t="str">
        <f aca="false">IF($C22="","",IF($T22&lt;&gt;"",IF($U22&lt;&gt;"","продано компании "&amp;$U22&amp;" в цикле "&amp;$T22,"продано Инфраструктуре в цикле "&amp;$T22),IF($D22&gt;=ИНФА!$F$5,"доход со следующего цикла","приносит доход")))</f>
        <v/>
      </c>
      <c r="AC22" s="47" t="str">
        <f aca="false">IF($C22="","",IF($F22="","",IF($E22="","укажите продавца; ",IF(OR($F22&lt;INDEX(ИНФА!$N$5:$N$19,MATCH($C22,ИНФА!$I$5:$I$19,0)),$F22&gt;INDEX(ИНФА!$M$5:$M$19,MATCH($C22,ИНФА!$I$5:$I$19,0))),"цена покупки вне коридора! ","")))&amp;IF($U22="","",IF(OR($V22="",$T22=""),"укажите цикл и цену продажи; ",IF(OR($V22&lt;INDEX(ИНФА!$N$5:$N$19,MATCH($C22,ИНФА!$I$5:$I$19,0)),$V22&gt;INDEX(ИНФА!$M$5:$M$19,MATCH($C22,ИНФА!$I$5:$I$19,0))),"цена продажи вне коридора! ","")))&amp;IF(AND($T22="",COUNTIFS($C$5:$C22,$C22,$T$5:$T22,"")&gt;INDEX(ИНФА!$Q$5:$Q$19,MATCH($C22,ИНФА!$I$5:$I$19,0))),"лотов нет! ","")&amp;IF(AND($E22&lt;&gt;"",$F22=""),"укажите цену сделки; ","")&amp;IF(AND(N($H22)&gt;0,OR($AD22="",$AD22="Профессия"),OR($H22&gt;ИНФА!$F$29,$I22&lt;INDEX(ИНФА!$N$5:$N$19,MATCH($C22,ИНФА!$I$5:$I$19,0))+ИНФА!$F$30)),"скидка больше лимита или цена ниже выкупа + 500! ","")&amp;IF($AE22="","",IF(IFERROR(INDEX($B$5:$B$204,MATCH($AE22,$A$5:$A$204,0))=$B22,TRUE()),"бизнес-пара — только со зданием другой компании; ",""))&amp;IF($Q22="","",IF(IFERROR(INDEX(НАУКА!$B$5:$B$44,MATCH($Q22,НАУКА!$A$5:$A$44,0))&lt;&gt;$B22,FALSE()),"патент другой компании — нужна лицензия или соглашение; ","")))</f>
        <v/>
      </c>
      <c r="AD22" s="44"/>
      <c r="AE22" s="44"/>
      <c r="AF22" s="38" t="str">
        <f aca="false">IF($C22="","",IF(AND($W22=1,OR($C22="Дом",$C22="Кафе")),ИНФА!$F$17*(COUNTIFS($B$5:$B22,$B22,$C$5:$C22,$C22,$W$5:$W22,1)&lt;=COUNTIFS($B$5:$B$204,$B22,$C$5:$C$204,"Парк",$W$5:$W$204,1)),0))</f>
        <v/>
      </c>
      <c r="AG22" s="38" t="str">
        <f aca="false">IF($C22="","",IF($W22=1,IF(OR(AND($AE22&lt;&gt;"",IFERROR(INDEX($W$5:$W$204,MATCH($AE22,$A$5:$A$204,0))=1,FALSE()),IFERROR(INDEX($B$5:$B$204,MATCH($AE22,$A$5:$A$204,0))&lt;&gt;$B22,FALSE())),COUNTIFS($AE$5:$AE$204,$A22,$W$5:$W$204,1,$B$5:$B$204,"&lt;&gt;"&amp;$B22)&gt;0),ИНФА!$F$31,0),0))</f>
        <v/>
      </c>
    </row>
    <row r="23" customFormat="false" ht="15" hidden="false" customHeight="false" outlineLevel="0" collapsed="false">
      <c r="A23" s="15" t="n">
        <v>19</v>
      </c>
      <c r="B23" s="44"/>
      <c r="C23" s="44"/>
      <c r="D23" s="44"/>
      <c r="E23" s="44"/>
      <c r="F23" s="43"/>
      <c r="G23" s="38" t="str">
        <f aca="false">IF($C23="","",IF($F23&lt;&gt;"",$F23,INDEX(ИНФА!$M$5:$M$19,MATCH($C23,ИНФА!$I$5:$I$19,0))))</f>
        <v/>
      </c>
      <c r="H23" s="43"/>
      <c r="I23" s="38" t="str">
        <f aca="false">IF($C23="","",G23-N(H23))</f>
        <v/>
      </c>
      <c r="J23" s="37" t="str">
        <f aca="false">IF($C23="","",INDEX(ИНФА!$J$5:$J$19,MATCH($C23,ИНФА!$I$5:$I$19,0)))</f>
        <v/>
      </c>
      <c r="K23" s="37" t="str">
        <f aca="false">IF($C23="","",INDEX(ИНФА!$K$5:$K$19,MATCH($C23,ИНФА!$I$5:$I$19,0)))</f>
        <v/>
      </c>
      <c r="L23" s="38" t="str">
        <f aca="false">IF($C23="","",INDEX(ИНФА!$O$5:$O$19,MATCH($C23,ИНФА!$I$5:$I$19,0)))</f>
        <v/>
      </c>
      <c r="M23" s="38" t="str">
        <f aca="false">IF($C23="","",INDEX(ИНФА!$P$5:$P$19,MATCH($C23,ИНФА!$I$5:$I$19,0)))</f>
        <v/>
      </c>
      <c r="N23" s="44"/>
      <c r="O23" s="48" t="n">
        <f aca="false">IF(OR($C23="",$N23=""),1,IF(AND($J23="Услуги",IFERROR(INDEX($C$5:$C$204,MATCH($N23,$A$5:$A$204,0))=INDEX(ИНФА!$L$5:$L$19,MATCH($C23,ИНФА!$I$5:$I$19,0)),FALSE()),IFERROR(INDEX($W$5:$W$204,MATCH($N23,$A$5:$A$204,0))=1,FALSE()),COUNTIF($N$5:$N23,$N23)&lt;=ИНФА!$F$16),1+ИНФА!$F$15,1))</f>
        <v>1</v>
      </c>
      <c r="P23" s="47" t="str">
        <f aca="false">IF($C23="","",IF($J23&lt;&gt;"Услуги","",IF($N23="","нет поставщика — нужен "&amp;INDEX(ИНФА!$L$5:$L$19,MATCH($C23,ИНФА!$I$5:$I$19,0)),IF($O23&gt;1,"✓ поставка работает (+50%)",IF(IFERROR(INDEX($C$5:$C$204,MATCH($N23,$A$5:$A$204,0))&lt;&gt;INDEX(ИНФА!$L$5:$L$19,MATCH($C23,ИНФА!$I$5:$I$19,0)),TRUE()),"не тот поставщик: нужен "&amp;INDEX(ИНФА!$L$5:$L$19,MATCH($C23,ИНФА!$I$5:$I$19,0)),IF(COUNTIF($N$5:$N23,$N23)&gt;ИНФА!$F$16,"поставщик перегружен","поставщик ещё не работает или продан"))))))</f>
        <v/>
      </c>
      <c r="Q23" s="44"/>
      <c r="R23" s="48" t="str">
        <f aca="false">IF($C23="","",IF($Q23="",1,IFERROR(INDEX(НАУКА!$K$5:$K$44,MATCH($Q23,НАУКА!$A$5:$A$44,0)),1)))</f>
        <v/>
      </c>
      <c r="S23" s="37" t="str">
        <f aca="false">IF($Q23="","",IFERROR(INDEX(НАУКА!$G$5:$G$44,MATCH($Q23,НАУКА!$A$5:$A$44,0)),""))</f>
        <v/>
      </c>
      <c r="T23" s="44"/>
      <c r="U23" s="44"/>
      <c r="V23" s="43"/>
      <c r="W23" s="37" t="n">
        <f aca="false">IF(OR($C23="",$D23=""),0,IF(AND($D23&lt;ИНФА!$F$5,OR($T23="",$T23&gt;=ИНФА!$F$5)),1,0))</f>
        <v>0</v>
      </c>
      <c r="X23" s="46" t="str">
        <f aca="false">IF($C23="","",INDEX(СОБЫТИЯ!$B$5:$K$8,MATCH($K23,СОБЫТИЯ!$A$5:$A$8,0),ИНФА!$F$5))</f>
        <v/>
      </c>
      <c r="Y23" s="42" t="str">
        <f aca="false">IF($C23="","",IF($W23=1,ROUND($L23*$O23*IF(AND($Q23&lt;&gt;"",$S23&lt;&gt;""),IF($S23&lt;ИНФА!$F$5,$R23,1),1)*$X23,0)-$M23+N($AF23)+N($AG23),0))</f>
        <v/>
      </c>
      <c r="Z23" s="38" t="str">
        <f aca="false">IF($C23="","",IF($T23="",INDEX(ИНФА!$M$5:$M$19,MATCH($C23,ИНФА!$I$5:$I$19,0)),0))</f>
        <v/>
      </c>
      <c r="AA23" s="38" t="str">
        <f aca="false">IF(OR($C23="",$T23=""),"",IF($V23&lt;&gt;"",$V23,INDEX(ИНФА!$N$5:$N$19,MATCH($C23,ИНФА!$I$5:$I$19,0))))</f>
        <v/>
      </c>
      <c r="AB23" s="37" t="str">
        <f aca="false">IF($C23="","",IF($T23&lt;&gt;"",IF($U23&lt;&gt;"","продано компании "&amp;$U23&amp;" в цикле "&amp;$T23,"продано Инфраструктуре в цикле "&amp;$T23),IF($D23&gt;=ИНФА!$F$5,"доход со следующего цикла","приносит доход")))</f>
        <v/>
      </c>
      <c r="AC23" s="47" t="str">
        <f aca="false">IF($C23="","",IF($F23="","",IF($E23="","укажите продавца; ",IF(OR($F23&lt;INDEX(ИНФА!$N$5:$N$19,MATCH($C23,ИНФА!$I$5:$I$19,0)),$F23&gt;INDEX(ИНФА!$M$5:$M$19,MATCH($C23,ИНФА!$I$5:$I$19,0))),"цена покупки вне коридора! ","")))&amp;IF($U23="","",IF(OR($V23="",$T23=""),"укажите цикл и цену продажи; ",IF(OR($V23&lt;INDEX(ИНФА!$N$5:$N$19,MATCH($C23,ИНФА!$I$5:$I$19,0)),$V23&gt;INDEX(ИНФА!$M$5:$M$19,MATCH($C23,ИНФА!$I$5:$I$19,0))),"цена продажи вне коридора! ","")))&amp;IF(AND($T23="",COUNTIFS($C$5:$C23,$C23,$T$5:$T23,"")&gt;INDEX(ИНФА!$Q$5:$Q$19,MATCH($C23,ИНФА!$I$5:$I$19,0))),"лотов нет! ","")&amp;IF(AND($E23&lt;&gt;"",$F23=""),"укажите цену сделки; ","")&amp;IF(AND(N($H23)&gt;0,OR($AD23="",$AD23="Профессия"),OR($H23&gt;ИНФА!$F$29,$I23&lt;INDEX(ИНФА!$N$5:$N$19,MATCH($C23,ИНФА!$I$5:$I$19,0))+ИНФА!$F$30)),"скидка больше лимита или цена ниже выкупа + 500! ","")&amp;IF($AE23="","",IF(IFERROR(INDEX($B$5:$B$204,MATCH($AE23,$A$5:$A$204,0))=$B23,TRUE()),"бизнес-пара — только со зданием другой компании; ",""))&amp;IF($Q23="","",IF(IFERROR(INDEX(НАУКА!$B$5:$B$44,MATCH($Q23,НАУКА!$A$5:$A$44,0))&lt;&gt;$B23,FALSE()),"патент другой компании — нужна лицензия или соглашение; ","")))</f>
        <v/>
      </c>
      <c r="AD23" s="44"/>
      <c r="AE23" s="44"/>
      <c r="AF23" s="38" t="str">
        <f aca="false">IF($C23="","",IF(AND($W23=1,OR($C23="Дом",$C23="Кафе")),ИНФА!$F$17*(COUNTIFS($B$5:$B23,$B23,$C$5:$C23,$C23,$W$5:$W23,1)&lt;=COUNTIFS($B$5:$B$204,$B23,$C$5:$C$204,"Парк",$W$5:$W$204,1)),0))</f>
        <v/>
      </c>
      <c r="AG23" s="38" t="str">
        <f aca="false">IF($C23="","",IF($W23=1,IF(OR(AND($AE23&lt;&gt;"",IFERROR(INDEX($W$5:$W$204,MATCH($AE23,$A$5:$A$204,0))=1,FALSE()),IFERROR(INDEX($B$5:$B$204,MATCH($AE23,$A$5:$A$204,0))&lt;&gt;$B23,FALSE())),COUNTIFS($AE$5:$AE$204,$A23,$W$5:$W$204,1,$B$5:$B$204,"&lt;&gt;"&amp;$B23)&gt;0),ИНФА!$F$31,0),0))</f>
        <v/>
      </c>
    </row>
    <row r="24" customFormat="false" ht="15" hidden="false" customHeight="false" outlineLevel="0" collapsed="false">
      <c r="A24" s="15" t="n">
        <v>20</v>
      </c>
      <c r="B24" s="44"/>
      <c r="C24" s="44"/>
      <c r="D24" s="44"/>
      <c r="E24" s="44"/>
      <c r="F24" s="43"/>
      <c r="G24" s="38" t="str">
        <f aca="false">IF($C24="","",IF($F24&lt;&gt;"",$F24,INDEX(ИНФА!$M$5:$M$19,MATCH($C24,ИНФА!$I$5:$I$19,0))))</f>
        <v/>
      </c>
      <c r="H24" s="43"/>
      <c r="I24" s="38" t="str">
        <f aca="false">IF($C24="","",G24-N(H24))</f>
        <v/>
      </c>
      <c r="J24" s="37" t="str">
        <f aca="false">IF($C24="","",INDEX(ИНФА!$J$5:$J$19,MATCH($C24,ИНФА!$I$5:$I$19,0)))</f>
        <v/>
      </c>
      <c r="K24" s="37" t="str">
        <f aca="false">IF($C24="","",INDEX(ИНФА!$K$5:$K$19,MATCH($C24,ИНФА!$I$5:$I$19,0)))</f>
        <v/>
      </c>
      <c r="L24" s="38" t="str">
        <f aca="false">IF($C24="","",INDEX(ИНФА!$O$5:$O$19,MATCH($C24,ИНФА!$I$5:$I$19,0)))</f>
        <v/>
      </c>
      <c r="M24" s="38" t="str">
        <f aca="false">IF($C24="","",INDEX(ИНФА!$P$5:$P$19,MATCH($C24,ИНФА!$I$5:$I$19,0)))</f>
        <v/>
      </c>
      <c r="N24" s="44"/>
      <c r="O24" s="48" t="n">
        <f aca="false">IF(OR($C24="",$N24=""),1,IF(AND($J24="Услуги",IFERROR(INDEX($C$5:$C$204,MATCH($N24,$A$5:$A$204,0))=INDEX(ИНФА!$L$5:$L$19,MATCH($C24,ИНФА!$I$5:$I$19,0)),FALSE()),IFERROR(INDEX($W$5:$W$204,MATCH($N24,$A$5:$A$204,0))=1,FALSE()),COUNTIF($N$5:$N24,$N24)&lt;=ИНФА!$F$16),1+ИНФА!$F$15,1))</f>
        <v>1</v>
      </c>
      <c r="P24" s="47" t="str">
        <f aca="false">IF($C24="","",IF($J24&lt;&gt;"Услуги","",IF($N24="","нет поставщика — нужен "&amp;INDEX(ИНФА!$L$5:$L$19,MATCH($C24,ИНФА!$I$5:$I$19,0)),IF($O24&gt;1,"✓ поставка работает (+50%)",IF(IFERROR(INDEX($C$5:$C$204,MATCH($N24,$A$5:$A$204,0))&lt;&gt;INDEX(ИНФА!$L$5:$L$19,MATCH($C24,ИНФА!$I$5:$I$19,0)),TRUE()),"не тот поставщик: нужен "&amp;INDEX(ИНФА!$L$5:$L$19,MATCH($C24,ИНФА!$I$5:$I$19,0)),IF(COUNTIF($N$5:$N24,$N24)&gt;ИНФА!$F$16,"поставщик перегружен","поставщик ещё не работает или продан"))))))</f>
        <v/>
      </c>
      <c r="Q24" s="44"/>
      <c r="R24" s="48" t="str">
        <f aca="false">IF($C24="","",IF($Q24="",1,IFERROR(INDEX(НАУКА!$K$5:$K$44,MATCH($Q24,НАУКА!$A$5:$A$44,0)),1)))</f>
        <v/>
      </c>
      <c r="S24" s="37" t="str">
        <f aca="false">IF($Q24="","",IFERROR(INDEX(НАУКА!$G$5:$G$44,MATCH($Q24,НАУКА!$A$5:$A$44,0)),""))</f>
        <v/>
      </c>
      <c r="T24" s="44"/>
      <c r="U24" s="44"/>
      <c r="V24" s="43"/>
      <c r="W24" s="37" t="n">
        <f aca="false">IF(OR($C24="",$D24=""),0,IF(AND($D24&lt;ИНФА!$F$5,OR($T24="",$T24&gt;=ИНФА!$F$5)),1,0))</f>
        <v>0</v>
      </c>
      <c r="X24" s="46" t="str">
        <f aca="false">IF($C24="","",INDEX(СОБЫТИЯ!$B$5:$K$8,MATCH($K24,СОБЫТИЯ!$A$5:$A$8,0),ИНФА!$F$5))</f>
        <v/>
      </c>
      <c r="Y24" s="42" t="str">
        <f aca="false">IF($C24="","",IF($W24=1,ROUND($L24*$O24*IF(AND($Q24&lt;&gt;"",$S24&lt;&gt;""),IF($S24&lt;ИНФА!$F$5,$R24,1),1)*$X24,0)-$M24+N($AF24)+N($AG24),0))</f>
        <v/>
      </c>
      <c r="Z24" s="38" t="str">
        <f aca="false">IF($C24="","",IF($T24="",INDEX(ИНФА!$M$5:$M$19,MATCH($C24,ИНФА!$I$5:$I$19,0)),0))</f>
        <v/>
      </c>
      <c r="AA24" s="38" t="str">
        <f aca="false">IF(OR($C24="",$T24=""),"",IF($V24&lt;&gt;"",$V24,INDEX(ИНФА!$N$5:$N$19,MATCH($C24,ИНФА!$I$5:$I$19,0))))</f>
        <v/>
      </c>
      <c r="AB24" s="37" t="str">
        <f aca="false">IF($C24="","",IF($T24&lt;&gt;"",IF($U24&lt;&gt;"","продано компании "&amp;$U24&amp;" в цикле "&amp;$T24,"продано Инфраструктуре в цикле "&amp;$T24),IF($D24&gt;=ИНФА!$F$5,"доход со следующего цикла","приносит доход")))</f>
        <v/>
      </c>
      <c r="AC24" s="47" t="str">
        <f aca="false">IF($C24="","",IF($F24="","",IF($E24="","укажите продавца; ",IF(OR($F24&lt;INDEX(ИНФА!$N$5:$N$19,MATCH($C24,ИНФА!$I$5:$I$19,0)),$F24&gt;INDEX(ИНФА!$M$5:$M$19,MATCH($C24,ИНФА!$I$5:$I$19,0))),"цена покупки вне коридора! ","")))&amp;IF($U24="","",IF(OR($V24="",$T24=""),"укажите цикл и цену продажи; ",IF(OR($V24&lt;INDEX(ИНФА!$N$5:$N$19,MATCH($C24,ИНФА!$I$5:$I$19,0)),$V24&gt;INDEX(ИНФА!$M$5:$M$19,MATCH($C24,ИНФА!$I$5:$I$19,0))),"цена продажи вне коридора! ","")))&amp;IF(AND($T24="",COUNTIFS($C$5:$C24,$C24,$T$5:$T24,"")&gt;INDEX(ИНФА!$Q$5:$Q$19,MATCH($C24,ИНФА!$I$5:$I$19,0))),"лотов нет! ","")&amp;IF(AND($E24&lt;&gt;"",$F24=""),"укажите цену сделки; ","")&amp;IF(AND(N($H24)&gt;0,OR($AD24="",$AD24="Профессия"),OR($H24&gt;ИНФА!$F$29,$I24&lt;INDEX(ИНФА!$N$5:$N$19,MATCH($C24,ИНФА!$I$5:$I$19,0))+ИНФА!$F$30)),"скидка больше лимита или цена ниже выкупа + 500! ","")&amp;IF($AE24="","",IF(IFERROR(INDEX($B$5:$B$204,MATCH($AE24,$A$5:$A$204,0))=$B24,TRUE()),"бизнес-пара — только со зданием другой компании; ",""))&amp;IF($Q24="","",IF(IFERROR(INDEX(НАУКА!$B$5:$B$44,MATCH($Q24,НАУКА!$A$5:$A$44,0))&lt;&gt;$B24,FALSE()),"патент другой компании — нужна лицензия или соглашение; ","")))</f>
        <v/>
      </c>
      <c r="AD24" s="44"/>
      <c r="AE24" s="44"/>
      <c r="AF24" s="38" t="str">
        <f aca="false">IF($C24="","",IF(AND($W24=1,OR($C24="Дом",$C24="Кафе")),ИНФА!$F$17*(COUNTIFS($B$5:$B24,$B24,$C$5:$C24,$C24,$W$5:$W24,1)&lt;=COUNTIFS($B$5:$B$204,$B24,$C$5:$C$204,"Парк",$W$5:$W$204,1)),0))</f>
        <v/>
      </c>
      <c r="AG24" s="38" t="str">
        <f aca="false">IF($C24="","",IF($W24=1,IF(OR(AND($AE24&lt;&gt;"",IFERROR(INDEX($W$5:$W$204,MATCH($AE24,$A$5:$A$204,0))=1,FALSE()),IFERROR(INDEX($B$5:$B$204,MATCH($AE24,$A$5:$A$204,0))&lt;&gt;$B24,FALSE())),COUNTIFS($AE$5:$AE$204,$A24,$W$5:$W$204,1,$B$5:$B$204,"&lt;&gt;"&amp;$B24)&gt;0),ИНФА!$F$31,0),0))</f>
        <v/>
      </c>
    </row>
    <row r="25" customFormat="false" ht="15" hidden="false" customHeight="false" outlineLevel="0" collapsed="false">
      <c r="A25" s="15" t="n">
        <v>21</v>
      </c>
      <c r="B25" s="44"/>
      <c r="C25" s="44"/>
      <c r="D25" s="44"/>
      <c r="E25" s="44"/>
      <c r="F25" s="43"/>
      <c r="G25" s="38" t="str">
        <f aca="false">IF($C25="","",IF($F25&lt;&gt;"",$F25,INDEX(ИНФА!$M$5:$M$19,MATCH($C25,ИНФА!$I$5:$I$19,0))))</f>
        <v/>
      </c>
      <c r="H25" s="43"/>
      <c r="I25" s="38" t="str">
        <f aca="false">IF($C25="","",G25-N(H25))</f>
        <v/>
      </c>
      <c r="J25" s="37" t="str">
        <f aca="false">IF($C25="","",INDEX(ИНФА!$J$5:$J$19,MATCH($C25,ИНФА!$I$5:$I$19,0)))</f>
        <v/>
      </c>
      <c r="K25" s="37" t="str">
        <f aca="false">IF($C25="","",INDEX(ИНФА!$K$5:$K$19,MATCH($C25,ИНФА!$I$5:$I$19,0)))</f>
        <v/>
      </c>
      <c r="L25" s="38" t="str">
        <f aca="false">IF($C25="","",INDEX(ИНФА!$O$5:$O$19,MATCH($C25,ИНФА!$I$5:$I$19,0)))</f>
        <v/>
      </c>
      <c r="M25" s="38" t="str">
        <f aca="false">IF($C25="","",INDEX(ИНФА!$P$5:$P$19,MATCH($C25,ИНФА!$I$5:$I$19,0)))</f>
        <v/>
      </c>
      <c r="N25" s="44"/>
      <c r="O25" s="48" t="n">
        <f aca="false">IF(OR($C25="",$N25=""),1,IF(AND($J25="Услуги",IFERROR(INDEX($C$5:$C$204,MATCH($N25,$A$5:$A$204,0))=INDEX(ИНФА!$L$5:$L$19,MATCH($C25,ИНФА!$I$5:$I$19,0)),FALSE()),IFERROR(INDEX($W$5:$W$204,MATCH($N25,$A$5:$A$204,0))=1,FALSE()),COUNTIF($N$5:$N25,$N25)&lt;=ИНФА!$F$16),1+ИНФА!$F$15,1))</f>
        <v>1</v>
      </c>
      <c r="P25" s="47" t="str">
        <f aca="false">IF($C25="","",IF($J25&lt;&gt;"Услуги","",IF($N25="","нет поставщика — нужен "&amp;INDEX(ИНФА!$L$5:$L$19,MATCH($C25,ИНФА!$I$5:$I$19,0)),IF($O25&gt;1,"✓ поставка работает (+50%)",IF(IFERROR(INDEX($C$5:$C$204,MATCH($N25,$A$5:$A$204,0))&lt;&gt;INDEX(ИНФА!$L$5:$L$19,MATCH($C25,ИНФА!$I$5:$I$19,0)),TRUE()),"не тот поставщик: нужен "&amp;INDEX(ИНФА!$L$5:$L$19,MATCH($C25,ИНФА!$I$5:$I$19,0)),IF(COUNTIF($N$5:$N25,$N25)&gt;ИНФА!$F$16,"поставщик перегружен","поставщик ещё не работает или продан"))))))</f>
        <v/>
      </c>
      <c r="Q25" s="44"/>
      <c r="R25" s="48" t="str">
        <f aca="false">IF($C25="","",IF($Q25="",1,IFERROR(INDEX(НАУКА!$K$5:$K$44,MATCH($Q25,НАУКА!$A$5:$A$44,0)),1)))</f>
        <v/>
      </c>
      <c r="S25" s="37" t="str">
        <f aca="false">IF($Q25="","",IFERROR(INDEX(НАУКА!$G$5:$G$44,MATCH($Q25,НАУКА!$A$5:$A$44,0)),""))</f>
        <v/>
      </c>
      <c r="T25" s="44"/>
      <c r="U25" s="44"/>
      <c r="V25" s="43"/>
      <c r="W25" s="37" t="n">
        <f aca="false">IF(OR($C25="",$D25=""),0,IF(AND($D25&lt;ИНФА!$F$5,OR($T25="",$T25&gt;=ИНФА!$F$5)),1,0))</f>
        <v>0</v>
      </c>
      <c r="X25" s="46" t="str">
        <f aca="false">IF($C25="","",INDEX(СОБЫТИЯ!$B$5:$K$8,MATCH($K25,СОБЫТИЯ!$A$5:$A$8,0),ИНФА!$F$5))</f>
        <v/>
      </c>
      <c r="Y25" s="42" t="str">
        <f aca="false">IF($C25="","",IF($W25=1,ROUND($L25*$O25*IF(AND($Q25&lt;&gt;"",$S25&lt;&gt;""),IF($S25&lt;ИНФА!$F$5,$R25,1),1)*$X25,0)-$M25+N($AF25)+N($AG25),0))</f>
        <v/>
      </c>
      <c r="Z25" s="38" t="str">
        <f aca="false">IF($C25="","",IF($T25="",INDEX(ИНФА!$M$5:$M$19,MATCH($C25,ИНФА!$I$5:$I$19,0)),0))</f>
        <v/>
      </c>
      <c r="AA25" s="38" t="str">
        <f aca="false">IF(OR($C25="",$T25=""),"",IF($V25&lt;&gt;"",$V25,INDEX(ИНФА!$N$5:$N$19,MATCH($C25,ИНФА!$I$5:$I$19,0))))</f>
        <v/>
      </c>
      <c r="AB25" s="37" t="str">
        <f aca="false">IF($C25="","",IF($T25&lt;&gt;"",IF($U25&lt;&gt;"","продано компании "&amp;$U25&amp;" в цикле "&amp;$T25,"продано Инфраструктуре в цикле "&amp;$T25),IF($D25&gt;=ИНФА!$F$5,"доход со следующего цикла","приносит доход")))</f>
        <v/>
      </c>
      <c r="AC25" s="47" t="str">
        <f aca="false">IF($C25="","",IF($F25="","",IF($E25="","укажите продавца; ",IF(OR($F25&lt;INDEX(ИНФА!$N$5:$N$19,MATCH($C25,ИНФА!$I$5:$I$19,0)),$F25&gt;INDEX(ИНФА!$M$5:$M$19,MATCH($C25,ИНФА!$I$5:$I$19,0))),"цена покупки вне коридора! ","")))&amp;IF($U25="","",IF(OR($V25="",$T25=""),"укажите цикл и цену продажи; ",IF(OR($V25&lt;INDEX(ИНФА!$N$5:$N$19,MATCH($C25,ИНФА!$I$5:$I$19,0)),$V25&gt;INDEX(ИНФА!$M$5:$M$19,MATCH($C25,ИНФА!$I$5:$I$19,0))),"цена продажи вне коридора! ","")))&amp;IF(AND($T25="",COUNTIFS($C$5:$C25,$C25,$T$5:$T25,"")&gt;INDEX(ИНФА!$Q$5:$Q$19,MATCH($C25,ИНФА!$I$5:$I$19,0))),"лотов нет! ","")&amp;IF(AND($E25&lt;&gt;"",$F25=""),"укажите цену сделки; ","")&amp;IF(AND(N($H25)&gt;0,OR($AD25="",$AD25="Профессия"),OR($H25&gt;ИНФА!$F$29,$I25&lt;INDEX(ИНФА!$N$5:$N$19,MATCH($C25,ИНФА!$I$5:$I$19,0))+ИНФА!$F$30)),"скидка больше лимита или цена ниже выкупа + 500! ","")&amp;IF($AE25="","",IF(IFERROR(INDEX($B$5:$B$204,MATCH($AE25,$A$5:$A$204,0))=$B25,TRUE()),"бизнес-пара — только со зданием другой компании; ",""))&amp;IF($Q25="","",IF(IFERROR(INDEX(НАУКА!$B$5:$B$44,MATCH($Q25,НАУКА!$A$5:$A$44,0))&lt;&gt;$B25,FALSE()),"патент другой компании — нужна лицензия или соглашение; ","")))</f>
        <v/>
      </c>
      <c r="AD25" s="44"/>
      <c r="AE25" s="44"/>
      <c r="AF25" s="38" t="str">
        <f aca="false">IF($C25="","",IF(AND($W25=1,OR($C25="Дом",$C25="Кафе")),ИНФА!$F$17*(COUNTIFS($B$5:$B25,$B25,$C$5:$C25,$C25,$W$5:$W25,1)&lt;=COUNTIFS($B$5:$B$204,$B25,$C$5:$C$204,"Парк",$W$5:$W$204,1)),0))</f>
        <v/>
      </c>
      <c r="AG25" s="38" t="str">
        <f aca="false">IF($C25="","",IF($W25=1,IF(OR(AND($AE25&lt;&gt;"",IFERROR(INDEX($W$5:$W$204,MATCH($AE25,$A$5:$A$204,0))=1,FALSE()),IFERROR(INDEX($B$5:$B$204,MATCH($AE25,$A$5:$A$204,0))&lt;&gt;$B25,FALSE())),COUNTIFS($AE$5:$AE$204,$A25,$W$5:$W$204,1,$B$5:$B$204,"&lt;&gt;"&amp;$B25)&gt;0),ИНФА!$F$31,0),0))</f>
        <v/>
      </c>
    </row>
    <row r="26" customFormat="false" ht="15" hidden="false" customHeight="false" outlineLevel="0" collapsed="false">
      <c r="A26" s="15" t="n">
        <v>22</v>
      </c>
      <c r="B26" s="44"/>
      <c r="C26" s="44"/>
      <c r="D26" s="44"/>
      <c r="E26" s="44"/>
      <c r="F26" s="43"/>
      <c r="G26" s="38" t="str">
        <f aca="false">IF($C26="","",IF($F26&lt;&gt;"",$F26,INDEX(ИНФА!$M$5:$M$19,MATCH($C26,ИНФА!$I$5:$I$19,0))))</f>
        <v/>
      </c>
      <c r="H26" s="43"/>
      <c r="I26" s="38" t="str">
        <f aca="false">IF($C26="","",G26-N(H26))</f>
        <v/>
      </c>
      <c r="J26" s="37" t="str">
        <f aca="false">IF($C26="","",INDEX(ИНФА!$J$5:$J$19,MATCH($C26,ИНФА!$I$5:$I$19,0)))</f>
        <v/>
      </c>
      <c r="K26" s="37" t="str">
        <f aca="false">IF($C26="","",INDEX(ИНФА!$K$5:$K$19,MATCH($C26,ИНФА!$I$5:$I$19,0)))</f>
        <v/>
      </c>
      <c r="L26" s="38" t="str">
        <f aca="false">IF($C26="","",INDEX(ИНФА!$O$5:$O$19,MATCH($C26,ИНФА!$I$5:$I$19,0)))</f>
        <v/>
      </c>
      <c r="M26" s="38" t="str">
        <f aca="false">IF($C26="","",INDEX(ИНФА!$P$5:$P$19,MATCH($C26,ИНФА!$I$5:$I$19,0)))</f>
        <v/>
      </c>
      <c r="N26" s="44"/>
      <c r="O26" s="48" t="n">
        <f aca="false">IF(OR($C26="",$N26=""),1,IF(AND($J26="Услуги",IFERROR(INDEX($C$5:$C$204,MATCH($N26,$A$5:$A$204,0))=INDEX(ИНФА!$L$5:$L$19,MATCH($C26,ИНФА!$I$5:$I$19,0)),FALSE()),IFERROR(INDEX($W$5:$W$204,MATCH($N26,$A$5:$A$204,0))=1,FALSE()),COUNTIF($N$5:$N26,$N26)&lt;=ИНФА!$F$16),1+ИНФА!$F$15,1))</f>
        <v>1</v>
      </c>
      <c r="P26" s="47" t="str">
        <f aca="false">IF($C26="","",IF($J26&lt;&gt;"Услуги","",IF($N26="","нет поставщика — нужен "&amp;INDEX(ИНФА!$L$5:$L$19,MATCH($C26,ИНФА!$I$5:$I$19,0)),IF($O26&gt;1,"✓ поставка работает (+50%)",IF(IFERROR(INDEX($C$5:$C$204,MATCH($N26,$A$5:$A$204,0))&lt;&gt;INDEX(ИНФА!$L$5:$L$19,MATCH($C26,ИНФА!$I$5:$I$19,0)),TRUE()),"не тот поставщик: нужен "&amp;INDEX(ИНФА!$L$5:$L$19,MATCH($C26,ИНФА!$I$5:$I$19,0)),IF(COUNTIF($N$5:$N26,$N26)&gt;ИНФА!$F$16,"поставщик перегружен","поставщик ещё не работает или продан"))))))</f>
        <v/>
      </c>
      <c r="Q26" s="44"/>
      <c r="R26" s="48" t="str">
        <f aca="false">IF($C26="","",IF($Q26="",1,IFERROR(INDEX(НАУКА!$K$5:$K$44,MATCH($Q26,НАУКА!$A$5:$A$44,0)),1)))</f>
        <v/>
      </c>
      <c r="S26" s="37" t="str">
        <f aca="false">IF($Q26="","",IFERROR(INDEX(НАУКА!$G$5:$G$44,MATCH($Q26,НАУКА!$A$5:$A$44,0)),""))</f>
        <v/>
      </c>
      <c r="T26" s="44"/>
      <c r="U26" s="44"/>
      <c r="V26" s="43"/>
      <c r="W26" s="37" t="n">
        <f aca="false">IF(OR($C26="",$D26=""),0,IF(AND($D26&lt;ИНФА!$F$5,OR($T26="",$T26&gt;=ИНФА!$F$5)),1,0))</f>
        <v>0</v>
      </c>
      <c r="X26" s="46" t="str">
        <f aca="false">IF($C26="","",INDEX(СОБЫТИЯ!$B$5:$K$8,MATCH($K26,СОБЫТИЯ!$A$5:$A$8,0),ИНФА!$F$5))</f>
        <v/>
      </c>
      <c r="Y26" s="42" t="str">
        <f aca="false">IF($C26="","",IF($W26=1,ROUND($L26*$O26*IF(AND($Q26&lt;&gt;"",$S26&lt;&gt;""),IF($S26&lt;ИНФА!$F$5,$R26,1),1)*$X26,0)-$M26+N($AF26)+N($AG26),0))</f>
        <v/>
      </c>
      <c r="Z26" s="38" t="str">
        <f aca="false">IF($C26="","",IF($T26="",INDEX(ИНФА!$M$5:$M$19,MATCH($C26,ИНФА!$I$5:$I$19,0)),0))</f>
        <v/>
      </c>
      <c r="AA26" s="38" t="str">
        <f aca="false">IF(OR($C26="",$T26=""),"",IF($V26&lt;&gt;"",$V26,INDEX(ИНФА!$N$5:$N$19,MATCH($C26,ИНФА!$I$5:$I$19,0))))</f>
        <v/>
      </c>
      <c r="AB26" s="37" t="str">
        <f aca="false">IF($C26="","",IF($T26&lt;&gt;"",IF($U26&lt;&gt;"","продано компании "&amp;$U26&amp;" в цикле "&amp;$T26,"продано Инфраструктуре в цикле "&amp;$T26),IF($D26&gt;=ИНФА!$F$5,"доход со следующего цикла","приносит доход")))</f>
        <v/>
      </c>
      <c r="AC26" s="47" t="str">
        <f aca="false">IF($C26="","",IF($F26="","",IF($E26="","укажите продавца; ",IF(OR($F26&lt;INDEX(ИНФА!$N$5:$N$19,MATCH($C26,ИНФА!$I$5:$I$19,0)),$F26&gt;INDEX(ИНФА!$M$5:$M$19,MATCH($C26,ИНФА!$I$5:$I$19,0))),"цена покупки вне коридора! ","")))&amp;IF($U26="","",IF(OR($V26="",$T26=""),"укажите цикл и цену продажи; ",IF(OR($V26&lt;INDEX(ИНФА!$N$5:$N$19,MATCH($C26,ИНФА!$I$5:$I$19,0)),$V26&gt;INDEX(ИНФА!$M$5:$M$19,MATCH($C26,ИНФА!$I$5:$I$19,0))),"цена продажи вне коридора! ","")))&amp;IF(AND($T26="",COUNTIFS($C$5:$C26,$C26,$T$5:$T26,"")&gt;INDEX(ИНФА!$Q$5:$Q$19,MATCH($C26,ИНФА!$I$5:$I$19,0))),"лотов нет! ","")&amp;IF(AND($E26&lt;&gt;"",$F26=""),"укажите цену сделки; ","")&amp;IF(AND(N($H26)&gt;0,OR($AD26="",$AD26="Профессия"),OR($H26&gt;ИНФА!$F$29,$I26&lt;INDEX(ИНФА!$N$5:$N$19,MATCH($C26,ИНФА!$I$5:$I$19,0))+ИНФА!$F$30)),"скидка больше лимита или цена ниже выкупа + 500! ","")&amp;IF($AE26="","",IF(IFERROR(INDEX($B$5:$B$204,MATCH($AE26,$A$5:$A$204,0))=$B26,TRUE()),"бизнес-пара — только со зданием другой компании; ",""))&amp;IF($Q26="","",IF(IFERROR(INDEX(НАУКА!$B$5:$B$44,MATCH($Q26,НАУКА!$A$5:$A$44,0))&lt;&gt;$B26,FALSE()),"патент другой компании — нужна лицензия или соглашение; ","")))</f>
        <v/>
      </c>
      <c r="AD26" s="44"/>
      <c r="AE26" s="44"/>
      <c r="AF26" s="38" t="str">
        <f aca="false">IF($C26="","",IF(AND($W26=1,OR($C26="Дом",$C26="Кафе")),ИНФА!$F$17*(COUNTIFS($B$5:$B26,$B26,$C$5:$C26,$C26,$W$5:$W26,1)&lt;=COUNTIFS($B$5:$B$204,$B26,$C$5:$C$204,"Парк",$W$5:$W$204,1)),0))</f>
        <v/>
      </c>
      <c r="AG26" s="38" t="str">
        <f aca="false">IF($C26="","",IF($W26=1,IF(OR(AND($AE26&lt;&gt;"",IFERROR(INDEX($W$5:$W$204,MATCH($AE26,$A$5:$A$204,0))=1,FALSE()),IFERROR(INDEX($B$5:$B$204,MATCH($AE26,$A$5:$A$204,0))&lt;&gt;$B26,FALSE())),COUNTIFS($AE$5:$AE$204,$A26,$W$5:$W$204,1,$B$5:$B$204,"&lt;&gt;"&amp;$B26)&gt;0),ИНФА!$F$31,0),0))</f>
        <v/>
      </c>
    </row>
    <row r="27" customFormat="false" ht="15" hidden="false" customHeight="false" outlineLevel="0" collapsed="false">
      <c r="A27" s="15" t="n">
        <v>23</v>
      </c>
      <c r="B27" s="44"/>
      <c r="C27" s="44"/>
      <c r="D27" s="44"/>
      <c r="E27" s="44"/>
      <c r="F27" s="43"/>
      <c r="G27" s="38" t="str">
        <f aca="false">IF($C27="","",IF($F27&lt;&gt;"",$F27,INDEX(ИНФА!$M$5:$M$19,MATCH($C27,ИНФА!$I$5:$I$19,0))))</f>
        <v/>
      </c>
      <c r="H27" s="43"/>
      <c r="I27" s="38" t="str">
        <f aca="false">IF($C27="","",G27-N(H27))</f>
        <v/>
      </c>
      <c r="J27" s="37" t="str">
        <f aca="false">IF($C27="","",INDEX(ИНФА!$J$5:$J$19,MATCH($C27,ИНФА!$I$5:$I$19,0)))</f>
        <v/>
      </c>
      <c r="K27" s="37" t="str">
        <f aca="false">IF($C27="","",INDEX(ИНФА!$K$5:$K$19,MATCH($C27,ИНФА!$I$5:$I$19,0)))</f>
        <v/>
      </c>
      <c r="L27" s="38" t="str">
        <f aca="false">IF($C27="","",INDEX(ИНФА!$O$5:$O$19,MATCH($C27,ИНФА!$I$5:$I$19,0)))</f>
        <v/>
      </c>
      <c r="M27" s="38" t="str">
        <f aca="false">IF($C27="","",INDEX(ИНФА!$P$5:$P$19,MATCH($C27,ИНФА!$I$5:$I$19,0)))</f>
        <v/>
      </c>
      <c r="N27" s="44"/>
      <c r="O27" s="48" t="n">
        <f aca="false">IF(OR($C27="",$N27=""),1,IF(AND($J27="Услуги",IFERROR(INDEX($C$5:$C$204,MATCH($N27,$A$5:$A$204,0))=INDEX(ИНФА!$L$5:$L$19,MATCH($C27,ИНФА!$I$5:$I$19,0)),FALSE()),IFERROR(INDEX($W$5:$W$204,MATCH($N27,$A$5:$A$204,0))=1,FALSE()),COUNTIF($N$5:$N27,$N27)&lt;=ИНФА!$F$16),1+ИНФА!$F$15,1))</f>
        <v>1</v>
      </c>
      <c r="P27" s="47" t="str">
        <f aca="false">IF($C27="","",IF($J27&lt;&gt;"Услуги","",IF($N27="","нет поставщика — нужен "&amp;INDEX(ИНФА!$L$5:$L$19,MATCH($C27,ИНФА!$I$5:$I$19,0)),IF($O27&gt;1,"✓ поставка работает (+50%)",IF(IFERROR(INDEX($C$5:$C$204,MATCH($N27,$A$5:$A$204,0))&lt;&gt;INDEX(ИНФА!$L$5:$L$19,MATCH($C27,ИНФА!$I$5:$I$19,0)),TRUE()),"не тот поставщик: нужен "&amp;INDEX(ИНФА!$L$5:$L$19,MATCH($C27,ИНФА!$I$5:$I$19,0)),IF(COUNTIF($N$5:$N27,$N27)&gt;ИНФА!$F$16,"поставщик перегружен","поставщик ещё не работает или продан"))))))</f>
        <v/>
      </c>
      <c r="Q27" s="44"/>
      <c r="R27" s="48" t="str">
        <f aca="false">IF($C27="","",IF($Q27="",1,IFERROR(INDEX(НАУКА!$K$5:$K$44,MATCH($Q27,НАУКА!$A$5:$A$44,0)),1)))</f>
        <v/>
      </c>
      <c r="S27" s="37" t="str">
        <f aca="false">IF($Q27="","",IFERROR(INDEX(НАУКА!$G$5:$G$44,MATCH($Q27,НАУКА!$A$5:$A$44,0)),""))</f>
        <v/>
      </c>
      <c r="T27" s="44"/>
      <c r="U27" s="44"/>
      <c r="V27" s="43"/>
      <c r="W27" s="37" t="n">
        <f aca="false">IF(OR($C27="",$D27=""),0,IF(AND($D27&lt;ИНФА!$F$5,OR($T27="",$T27&gt;=ИНФА!$F$5)),1,0))</f>
        <v>0</v>
      </c>
      <c r="X27" s="46" t="str">
        <f aca="false">IF($C27="","",INDEX(СОБЫТИЯ!$B$5:$K$8,MATCH($K27,СОБЫТИЯ!$A$5:$A$8,0),ИНФА!$F$5))</f>
        <v/>
      </c>
      <c r="Y27" s="42" t="str">
        <f aca="false">IF($C27="","",IF($W27=1,ROUND($L27*$O27*IF(AND($Q27&lt;&gt;"",$S27&lt;&gt;""),IF($S27&lt;ИНФА!$F$5,$R27,1),1)*$X27,0)-$M27+N($AF27)+N($AG27),0))</f>
        <v/>
      </c>
      <c r="Z27" s="38" t="str">
        <f aca="false">IF($C27="","",IF($T27="",INDEX(ИНФА!$M$5:$M$19,MATCH($C27,ИНФА!$I$5:$I$19,0)),0))</f>
        <v/>
      </c>
      <c r="AA27" s="38" t="str">
        <f aca="false">IF(OR($C27="",$T27=""),"",IF($V27&lt;&gt;"",$V27,INDEX(ИНФА!$N$5:$N$19,MATCH($C27,ИНФА!$I$5:$I$19,0))))</f>
        <v/>
      </c>
      <c r="AB27" s="37" t="str">
        <f aca="false">IF($C27="","",IF($T27&lt;&gt;"",IF($U27&lt;&gt;"","продано компании "&amp;$U27&amp;" в цикле "&amp;$T27,"продано Инфраструктуре в цикле "&amp;$T27),IF($D27&gt;=ИНФА!$F$5,"доход со следующего цикла","приносит доход")))</f>
        <v/>
      </c>
      <c r="AC27" s="47" t="str">
        <f aca="false">IF($C27="","",IF($F27="","",IF($E27="","укажите продавца; ",IF(OR($F27&lt;INDEX(ИНФА!$N$5:$N$19,MATCH($C27,ИНФА!$I$5:$I$19,0)),$F27&gt;INDEX(ИНФА!$M$5:$M$19,MATCH($C27,ИНФА!$I$5:$I$19,0))),"цена покупки вне коридора! ","")))&amp;IF($U27="","",IF(OR($V27="",$T27=""),"укажите цикл и цену продажи; ",IF(OR($V27&lt;INDEX(ИНФА!$N$5:$N$19,MATCH($C27,ИНФА!$I$5:$I$19,0)),$V27&gt;INDEX(ИНФА!$M$5:$M$19,MATCH($C27,ИНФА!$I$5:$I$19,0))),"цена продажи вне коридора! ","")))&amp;IF(AND($T27="",COUNTIFS($C$5:$C27,$C27,$T$5:$T27,"")&gt;INDEX(ИНФА!$Q$5:$Q$19,MATCH($C27,ИНФА!$I$5:$I$19,0))),"лотов нет! ","")&amp;IF(AND($E27&lt;&gt;"",$F27=""),"укажите цену сделки; ","")&amp;IF(AND(N($H27)&gt;0,OR($AD27="",$AD27="Профессия"),OR($H27&gt;ИНФА!$F$29,$I27&lt;INDEX(ИНФА!$N$5:$N$19,MATCH($C27,ИНФА!$I$5:$I$19,0))+ИНФА!$F$30)),"скидка больше лимита или цена ниже выкупа + 500! ","")&amp;IF($AE27="","",IF(IFERROR(INDEX($B$5:$B$204,MATCH($AE27,$A$5:$A$204,0))=$B27,TRUE()),"бизнес-пара — только со зданием другой компании; ",""))&amp;IF($Q27="","",IF(IFERROR(INDEX(НАУКА!$B$5:$B$44,MATCH($Q27,НАУКА!$A$5:$A$44,0))&lt;&gt;$B27,FALSE()),"патент другой компании — нужна лицензия или соглашение; ","")))</f>
        <v/>
      </c>
      <c r="AD27" s="44"/>
      <c r="AE27" s="44"/>
      <c r="AF27" s="38" t="str">
        <f aca="false">IF($C27="","",IF(AND($W27=1,OR($C27="Дом",$C27="Кафе")),ИНФА!$F$17*(COUNTIFS($B$5:$B27,$B27,$C$5:$C27,$C27,$W$5:$W27,1)&lt;=COUNTIFS($B$5:$B$204,$B27,$C$5:$C$204,"Парк",$W$5:$W$204,1)),0))</f>
        <v/>
      </c>
      <c r="AG27" s="38" t="str">
        <f aca="false">IF($C27="","",IF($W27=1,IF(OR(AND($AE27&lt;&gt;"",IFERROR(INDEX($W$5:$W$204,MATCH($AE27,$A$5:$A$204,0))=1,FALSE()),IFERROR(INDEX($B$5:$B$204,MATCH($AE27,$A$5:$A$204,0))&lt;&gt;$B27,FALSE())),COUNTIFS($AE$5:$AE$204,$A27,$W$5:$W$204,1,$B$5:$B$204,"&lt;&gt;"&amp;$B27)&gt;0),ИНФА!$F$31,0),0))</f>
        <v/>
      </c>
    </row>
    <row r="28" customFormat="false" ht="15" hidden="false" customHeight="false" outlineLevel="0" collapsed="false">
      <c r="A28" s="15" t="n">
        <v>24</v>
      </c>
      <c r="B28" s="44"/>
      <c r="C28" s="44"/>
      <c r="D28" s="44"/>
      <c r="E28" s="44"/>
      <c r="F28" s="43"/>
      <c r="G28" s="38" t="str">
        <f aca="false">IF($C28="","",IF($F28&lt;&gt;"",$F28,INDEX(ИНФА!$M$5:$M$19,MATCH($C28,ИНФА!$I$5:$I$19,0))))</f>
        <v/>
      </c>
      <c r="H28" s="43"/>
      <c r="I28" s="38" t="str">
        <f aca="false">IF($C28="","",G28-N(H28))</f>
        <v/>
      </c>
      <c r="J28" s="37" t="str">
        <f aca="false">IF($C28="","",INDEX(ИНФА!$J$5:$J$19,MATCH($C28,ИНФА!$I$5:$I$19,0)))</f>
        <v/>
      </c>
      <c r="K28" s="37" t="str">
        <f aca="false">IF($C28="","",INDEX(ИНФА!$K$5:$K$19,MATCH($C28,ИНФА!$I$5:$I$19,0)))</f>
        <v/>
      </c>
      <c r="L28" s="38" t="str">
        <f aca="false">IF($C28="","",INDEX(ИНФА!$O$5:$O$19,MATCH($C28,ИНФА!$I$5:$I$19,0)))</f>
        <v/>
      </c>
      <c r="M28" s="38" t="str">
        <f aca="false">IF($C28="","",INDEX(ИНФА!$P$5:$P$19,MATCH($C28,ИНФА!$I$5:$I$19,0)))</f>
        <v/>
      </c>
      <c r="N28" s="44"/>
      <c r="O28" s="48" t="n">
        <f aca="false">IF(OR($C28="",$N28=""),1,IF(AND($J28="Услуги",IFERROR(INDEX($C$5:$C$204,MATCH($N28,$A$5:$A$204,0))=INDEX(ИНФА!$L$5:$L$19,MATCH($C28,ИНФА!$I$5:$I$19,0)),FALSE()),IFERROR(INDEX($W$5:$W$204,MATCH($N28,$A$5:$A$204,0))=1,FALSE()),COUNTIF($N$5:$N28,$N28)&lt;=ИНФА!$F$16),1+ИНФА!$F$15,1))</f>
        <v>1</v>
      </c>
      <c r="P28" s="47" t="str">
        <f aca="false">IF($C28="","",IF($J28&lt;&gt;"Услуги","",IF($N28="","нет поставщика — нужен "&amp;INDEX(ИНФА!$L$5:$L$19,MATCH($C28,ИНФА!$I$5:$I$19,0)),IF($O28&gt;1,"✓ поставка работает (+50%)",IF(IFERROR(INDEX($C$5:$C$204,MATCH($N28,$A$5:$A$204,0))&lt;&gt;INDEX(ИНФА!$L$5:$L$19,MATCH($C28,ИНФА!$I$5:$I$19,0)),TRUE()),"не тот поставщик: нужен "&amp;INDEX(ИНФА!$L$5:$L$19,MATCH($C28,ИНФА!$I$5:$I$19,0)),IF(COUNTIF($N$5:$N28,$N28)&gt;ИНФА!$F$16,"поставщик перегружен","поставщик ещё не работает или продан"))))))</f>
        <v/>
      </c>
      <c r="Q28" s="44"/>
      <c r="R28" s="48" t="str">
        <f aca="false">IF($C28="","",IF($Q28="",1,IFERROR(INDEX(НАУКА!$K$5:$K$44,MATCH($Q28,НАУКА!$A$5:$A$44,0)),1)))</f>
        <v/>
      </c>
      <c r="S28" s="37" t="str">
        <f aca="false">IF($Q28="","",IFERROR(INDEX(НАУКА!$G$5:$G$44,MATCH($Q28,НАУКА!$A$5:$A$44,0)),""))</f>
        <v/>
      </c>
      <c r="T28" s="44"/>
      <c r="U28" s="44"/>
      <c r="V28" s="43"/>
      <c r="W28" s="37" t="n">
        <f aca="false">IF(OR($C28="",$D28=""),0,IF(AND($D28&lt;ИНФА!$F$5,OR($T28="",$T28&gt;=ИНФА!$F$5)),1,0))</f>
        <v>0</v>
      </c>
      <c r="X28" s="46" t="str">
        <f aca="false">IF($C28="","",INDEX(СОБЫТИЯ!$B$5:$K$8,MATCH($K28,СОБЫТИЯ!$A$5:$A$8,0),ИНФА!$F$5))</f>
        <v/>
      </c>
      <c r="Y28" s="42" t="str">
        <f aca="false">IF($C28="","",IF($W28=1,ROUND($L28*$O28*IF(AND($Q28&lt;&gt;"",$S28&lt;&gt;""),IF($S28&lt;ИНФА!$F$5,$R28,1),1)*$X28,0)-$M28+N($AF28)+N($AG28),0))</f>
        <v/>
      </c>
      <c r="Z28" s="38" t="str">
        <f aca="false">IF($C28="","",IF($T28="",INDEX(ИНФА!$M$5:$M$19,MATCH($C28,ИНФА!$I$5:$I$19,0)),0))</f>
        <v/>
      </c>
      <c r="AA28" s="38" t="str">
        <f aca="false">IF(OR($C28="",$T28=""),"",IF($V28&lt;&gt;"",$V28,INDEX(ИНФА!$N$5:$N$19,MATCH($C28,ИНФА!$I$5:$I$19,0))))</f>
        <v/>
      </c>
      <c r="AB28" s="37" t="str">
        <f aca="false">IF($C28="","",IF($T28&lt;&gt;"",IF($U28&lt;&gt;"","продано компании "&amp;$U28&amp;" в цикле "&amp;$T28,"продано Инфраструктуре в цикле "&amp;$T28),IF($D28&gt;=ИНФА!$F$5,"доход со следующего цикла","приносит доход")))</f>
        <v/>
      </c>
      <c r="AC28" s="47" t="str">
        <f aca="false">IF($C28="","",IF($F28="","",IF($E28="","укажите продавца; ",IF(OR($F28&lt;INDEX(ИНФА!$N$5:$N$19,MATCH($C28,ИНФА!$I$5:$I$19,0)),$F28&gt;INDEX(ИНФА!$M$5:$M$19,MATCH($C28,ИНФА!$I$5:$I$19,0))),"цена покупки вне коридора! ","")))&amp;IF($U28="","",IF(OR($V28="",$T28=""),"укажите цикл и цену продажи; ",IF(OR($V28&lt;INDEX(ИНФА!$N$5:$N$19,MATCH($C28,ИНФА!$I$5:$I$19,0)),$V28&gt;INDEX(ИНФА!$M$5:$M$19,MATCH($C28,ИНФА!$I$5:$I$19,0))),"цена продажи вне коридора! ","")))&amp;IF(AND($T28="",COUNTIFS($C$5:$C28,$C28,$T$5:$T28,"")&gt;INDEX(ИНФА!$Q$5:$Q$19,MATCH($C28,ИНФА!$I$5:$I$19,0))),"лотов нет! ","")&amp;IF(AND($E28&lt;&gt;"",$F28=""),"укажите цену сделки; ","")&amp;IF(AND(N($H28)&gt;0,OR($AD28="",$AD28="Профессия"),OR($H28&gt;ИНФА!$F$29,$I28&lt;INDEX(ИНФА!$N$5:$N$19,MATCH($C28,ИНФА!$I$5:$I$19,0))+ИНФА!$F$30)),"скидка больше лимита или цена ниже выкупа + 500! ","")&amp;IF($AE28="","",IF(IFERROR(INDEX($B$5:$B$204,MATCH($AE28,$A$5:$A$204,0))=$B28,TRUE()),"бизнес-пара — только со зданием другой компании; ",""))&amp;IF($Q28="","",IF(IFERROR(INDEX(НАУКА!$B$5:$B$44,MATCH($Q28,НАУКА!$A$5:$A$44,0))&lt;&gt;$B28,FALSE()),"патент другой компании — нужна лицензия или соглашение; ","")))</f>
        <v/>
      </c>
      <c r="AD28" s="44"/>
      <c r="AE28" s="44"/>
      <c r="AF28" s="38" t="str">
        <f aca="false">IF($C28="","",IF(AND($W28=1,OR($C28="Дом",$C28="Кафе")),ИНФА!$F$17*(COUNTIFS($B$5:$B28,$B28,$C$5:$C28,$C28,$W$5:$W28,1)&lt;=COUNTIFS($B$5:$B$204,$B28,$C$5:$C$204,"Парк",$W$5:$W$204,1)),0))</f>
        <v/>
      </c>
      <c r="AG28" s="38" t="str">
        <f aca="false">IF($C28="","",IF($W28=1,IF(OR(AND($AE28&lt;&gt;"",IFERROR(INDEX($W$5:$W$204,MATCH($AE28,$A$5:$A$204,0))=1,FALSE()),IFERROR(INDEX($B$5:$B$204,MATCH($AE28,$A$5:$A$204,0))&lt;&gt;$B28,FALSE())),COUNTIFS($AE$5:$AE$204,$A28,$W$5:$W$204,1,$B$5:$B$204,"&lt;&gt;"&amp;$B28)&gt;0),ИНФА!$F$31,0),0))</f>
        <v/>
      </c>
    </row>
    <row r="29" customFormat="false" ht="15" hidden="false" customHeight="false" outlineLevel="0" collapsed="false">
      <c r="A29" s="15" t="n">
        <v>25</v>
      </c>
      <c r="B29" s="44"/>
      <c r="C29" s="44"/>
      <c r="D29" s="44"/>
      <c r="E29" s="44"/>
      <c r="F29" s="43"/>
      <c r="G29" s="38" t="str">
        <f aca="false">IF($C29="","",IF($F29&lt;&gt;"",$F29,INDEX(ИНФА!$M$5:$M$19,MATCH($C29,ИНФА!$I$5:$I$19,0))))</f>
        <v/>
      </c>
      <c r="H29" s="43"/>
      <c r="I29" s="38" t="str">
        <f aca="false">IF($C29="","",G29-N(H29))</f>
        <v/>
      </c>
      <c r="J29" s="37" t="str">
        <f aca="false">IF($C29="","",INDEX(ИНФА!$J$5:$J$19,MATCH($C29,ИНФА!$I$5:$I$19,0)))</f>
        <v/>
      </c>
      <c r="K29" s="37" t="str">
        <f aca="false">IF($C29="","",INDEX(ИНФА!$K$5:$K$19,MATCH($C29,ИНФА!$I$5:$I$19,0)))</f>
        <v/>
      </c>
      <c r="L29" s="38" t="str">
        <f aca="false">IF($C29="","",INDEX(ИНФА!$O$5:$O$19,MATCH($C29,ИНФА!$I$5:$I$19,0)))</f>
        <v/>
      </c>
      <c r="M29" s="38" t="str">
        <f aca="false">IF($C29="","",INDEX(ИНФА!$P$5:$P$19,MATCH($C29,ИНФА!$I$5:$I$19,0)))</f>
        <v/>
      </c>
      <c r="N29" s="44"/>
      <c r="O29" s="48" t="n">
        <f aca="false">IF(OR($C29="",$N29=""),1,IF(AND($J29="Услуги",IFERROR(INDEX($C$5:$C$204,MATCH($N29,$A$5:$A$204,0))=INDEX(ИНФА!$L$5:$L$19,MATCH($C29,ИНФА!$I$5:$I$19,0)),FALSE()),IFERROR(INDEX($W$5:$W$204,MATCH($N29,$A$5:$A$204,0))=1,FALSE()),COUNTIF($N$5:$N29,$N29)&lt;=ИНФА!$F$16),1+ИНФА!$F$15,1))</f>
        <v>1</v>
      </c>
      <c r="P29" s="47" t="str">
        <f aca="false">IF($C29="","",IF($J29&lt;&gt;"Услуги","",IF($N29="","нет поставщика — нужен "&amp;INDEX(ИНФА!$L$5:$L$19,MATCH($C29,ИНФА!$I$5:$I$19,0)),IF($O29&gt;1,"✓ поставка работает (+50%)",IF(IFERROR(INDEX($C$5:$C$204,MATCH($N29,$A$5:$A$204,0))&lt;&gt;INDEX(ИНФА!$L$5:$L$19,MATCH($C29,ИНФА!$I$5:$I$19,0)),TRUE()),"не тот поставщик: нужен "&amp;INDEX(ИНФА!$L$5:$L$19,MATCH($C29,ИНФА!$I$5:$I$19,0)),IF(COUNTIF($N$5:$N29,$N29)&gt;ИНФА!$F$16,"поставщик перегружен","поставщик ещё не работает или продан"))))))</f>
        <v/>
      </c>
      <c r="Q29" s="44"/>
      <c r="R29" s="48" t="str">
        <f aca="false">IF($C29="","",IF($Q29="",1,IFERROR(INDEX(НАУКА!$K$5:$K$44,MATCH($Q29,НАУКА!$A$5:$A$44,0)),1)))</f>
        <v/>
      </c>
      <c r="S29" s="37" t="str">
        <f aca="false">IF($Q29="","",IFERROR(INDEX(НАУКА!$G$5:$G$44,MATCH($Q29,НАУКА!$A$5:$A$44,0)),""))</f>
        <v/>
      </c>
      <c r="T29" s="44"/>
      <c r="U29" s="44"/>
      <c r="V29" s="43"/>
      <c r="W29" s="37" t="n">
        <f aca="false">IF(OR($C29="",$D29=""),0,IF(AND($D29&lt;ИНФА!$F$5,OR($T29="",$T29&gt;=ИНФА!$F$5)),1,0))</f>
        <v>0</v>
      </c>
      <c r="X29" s="46" t="str">
        <f aca="false">IF($C29="","",INDEX(СОБЫТИЯ!$B$5:$K$8,MATCH($K29,СОБЫТИЯ!$A$5:$A$8,0),ИНФА!$F$5))</f>
        <v/>
      </c>
      <c r="Y29" s="42" t="str">
        <f aca="false">IF($C29="","",IF($W29=1,ROUND($L29*$O29*IF(AND($Q29&lt;&gt;"",$S29&lt;&gt;""),IF($S29&lt;ИНФА!$F$5,$R29,1),1)*$X29,0)-$M29+N($AF29)+N($AG29),0))</f>
        <v/>
      </c>
      <c r="Z29" s="38" t="str">
        <f aca="false">IF($C29="","",IF($T29="",INDEX(ИНФА!$M$5:$M$19,MATCH($C29,ИНФА!$I$5:$I$19,0)),0))</f>
        <v/>
      </c>
      <c r="AA29" s="38" t="str">
        <f aca="false">IF(OR($C29="",$T29=""),"",IF($V29&lt;&gt;"",$V29,INDEX(ИНФА!$N$5:$N$19,MATCH($C29,ИНФА!$I$5:$I$19,0))))</f>
        <v/>
      </c>
      <c r="AB29" s="37" t="str">
        <f aca="false">IF($C29="","",IF($T29&lt;&gt;"",IF($U29&lt;&gt;"","продано компании "&amp;$U29&amp;" в цикле "&amp;$T29,"продано Инфраструктуре в цикле "&amp;$T29),IF($D29&gt;=ИНФА!$F$5,"доход со следующего цикла","приносит доход")))</f>
        <v/>
      </c>
      <c r="AC29" s="47" t="str">
        <f aca="false">IF($C29="","",IF($F29="","",IF($E29="","укажите продавца; ",IF(OR($F29&lt;INDEX(ИНФА!$N$5:$N$19,MATCH($C29,ИНФА!$I$5:$I$19,0)),$F29&gt;INDEX(ИНФА!$M$5:$M$19,MATCH($C29,ИНФА!$I$5:$I$19,0))),"цена покупки вне коридора! ","")))&amp;IF($U29="","",IF(OR($V29="",$T29=""),"укажите цикл и цену продажи; ",IF(OR($V29&lt;INDEX(ИНФА!$N$5:$N$19,MATCH($C29,ИНФА!$I$5:$I$19,0)),$V29&gt;INDEX(ИНФА!$M$5:$M$19,MATCH($C29,ИНФА!$I$5:$I$19,0))),"цена продажи вне коридора! ","")))&amp;IF(AND($T29="",COUNTIFS($C$5:$C29,$C29,$T$5:$T29,"")&gt;INDEX(ИНФА!$Q$5:$Q$19,MATCH($C29,ИНФА!$I$5:$I$19,0))),"лотов нет! ","")&amp;IF(AND($E29&lt;&gt;"",$F29=""),"укажите цену сделки; ","")&amp;IF(AND(N($H29)&gt;0,OR($AD29="",$AD29="Профессия"),OR($H29&gt;ИНФА!$F$29,$I29&lt;INDEX(ИНФА!$N$5:$N$19,MATCH($C29,ИНФА!$I$5:$I$19,0))+ИНФА!$F$30)),"скидка больше лимита или цена ниже выкупа + 500! ","")&amp;IF($AE29="","",IF(IFERROR(INDEX($B$5:$B$204,MATCH($AE29,$A$5:$A$204,0))=$B29,TRUE()),"бизнес-пара — только со зданием другой компании; ",""))&amp;IF($Q29="","",IF(IFERROR(INDEX(НАУКА!$B$5:$B$44,MATCH($Q29,НАУКА!$A$5:$A$44,0))&lt;&gt;$B29,FALSE()),"патент другой компании — нужна лицензия или соглашение; ","")))</f>
        <v/>
      </c>
      <c r="AD29" s="44"/>
      <c r="AE29" s="44"/>
      <c r="AF29" s="38" t="str">
        <f aca="false">IF($C29="","",IF(AND($W29=1,OR($C29="Дом",$C29="Кафе")),ИНФА!$F$17*(COUNTIFS($B$5:$B29,$B29,$C$5:$C29,$C29,$W$5:$W29,1)&lt;=COUNTIFS($B$5:$B$204,$B29,$C$5:$C$204,"Парк",$W$5:$W$204,1)),0))</f>
        <v/>
      </c>
      <c r="AG29" s="38" t="str">
        <f aca="false">IF($C29="","",IF($W29=1,IF(OR(AND($AE29&lt;&gt;"",IFERROR(INDEX($W$5:$W$204,MATCH($AE29,$A$5:$A$204,0))=1,FALSE()),IFERROR(INDEX($B$5:$B$204,MATCH($AE29,$A$5:$A$204,0))&lt;&gt;$B29,FALSE())),COUNTIFS($AE$5:$AE$204,$A29,$W$5:$W$204,1,$B$5:$B$204,"&lt;&gt;"&amp;$B29)&gt;0),ИНФА!$F$31,0),0))</f>
        <v/>
      </c>
    </row>
    <row r="30" customFormat="false" ht="15" hidden="false" customHeight="false" outlineLevel="0" collapsed="false">
      <c r="A30" s="15" t="n">
        <v>26</v>
      </c>
      <c r="B30" s="44"/>
      <c r="C30" s="44"/>
      <c r="D30" s="44"/>
      <c r="E30" s="44"/>
      <c r="F30" s="43"/>
      <c r="G30" s="38" t="str">
        <f aca="false">IF($C30="","",IF($F30&lt;&gt;"",$F30,INDEX(ИНФА!$M$5:$M$19,MATCH($C30,ИНФА!$I$5:$I$19,0))))</f>
        <v/>
      </c>
      <c r="H30" s="43"/>
      <c r="I30" s="38" t="str">
        <f aca="false">IF($C30="","",G30-N(H30))</f>
        <v/>
      </c>
      <c r="J30" s="37" t="str">
        <f aca="false">IF($C30="","",INDEX(ИНФА!$J$5:$J$19,MATCH($C30,ИНФА!$I$5:$I$19,0)))</f>
        <v/>
      </c>
      <c r="K30" s="37" t="str">
        <f aca="false">IF($C30="","",INDEX(ИНФА!$K$5:$K$19,MATCH($C30,ИНФА!$I$5:$I$19,0)))</f>
        <v/>
      </c>
      <c r="L30" s="38" t="str">
        <f aca="false">IF($C30="","",INDEX(ИНФА!$O$5:$O$19,MATCH($C30,ИНФА!$I$5:$I$19,0)))</f>
        <v/>
      </c>
      <c r="M30" s="38" t="str">
        <f aca="false">IF($C30="","",INDEX(ИНФА!$P$5:$P$19,MATCH($C30,ИНФА!$I$5:$I$19,0)))</f>
        <v/>
      </c>
      <c r="N30" s="44"/>
      <c r="O30" s="48" t="n">
        <f aca="false">IF(OR($C30="",$N30=""),1,IF(AND($J30="Услуги",IFERROR(INDEX($C$5:$C$204,MATCH($N30,$A$5:$A$204,0))=INDEX(ИНФА!$L$5:$L$19,MATCH($C30,ИНФА!$I$5:$I$19,0)),FALSE()),IFERROR(INDEX($W$5:$W$204,MATCH($N30,$A$5:$A$204,0))=1,FALSE()),COUNTIF($N$5:$N30,$N30)&lt;=ИНФА!$F$16),1+ИНФА!$F$15,1))</f>
        <v>1</v>
      </c>
      <c r="P30" s="47" t="str">
        <f aca="false">IF($C30="","",IF($J30&lt;&gt;"Услуги","",IF($N30="","нет поставщика — нужен "&amp;INDEX(ИНФА!$L$5:$L$19,MATCH($C30,ИНФА!$I$5:$I$19,0)),IF($O30&gt;1,"✓ поставка работает (+50%)",IF(IFERROR(INDEX($C$5:$C$204,MATCH($N30,$A$5:$A$204,0))&lt;&gt;INDEX(ИНФА!$L$5:$L$19,MATCH($C30,ИНФА!$I$5:$I$19,0)),TRUE()),"не тот поставщик: нужен "&amp;INDEX(ИНФА!$L$5:$L$19,MATCH($C30,ИНФА!$I$5:$I$19,0)),IF(COUNTIF($N$5:$N30,$N30)&gt;ИНФА!$F$16,"поставщик перегружен","поставщик ещё не работает или продан"))))))</f>
        <v/>
      </c>
      <c r="Q30" s="44"/>
      <c r="R30" s="48" t="str">
        <f aca="false">IF($C30="","",IF($Q30="",1,IFERROR(INDEX(НАУКА!$K$5:$K$44,MATCH($Q30,НАУКА!$A$5:$A$44,0)),1)))</f>
        <v/>
      </c>
      <c r="S30" s="37" t="str">
        <f aca="false">IF($Q30="","",IFERROR(INDEX(НАУКА!$G$5:$G$44,MATCH($Q30,НАУКА!$A$5:$A$44,0)),""))</f>
        <v/>
      </c>
      <c r="T30" s="44"/>
      <c r="U30" s="44"/>
      <c r="V30" s="43"/>
      <c r="W30" s="37" t="n">
        <f aca="false">IF(OR($C30="",$D30=""),0,IF(AND($D30&lt;ИНФА!$F$5,OR($T30="",$T30&gt;=ИНФА!$F$5)),1,0))</f>
        <v>0</v>
      </c>
      <c r="X30" s="46" t="str">
        <f aca="false">IF($C30="","",INDEX(СОБЫТИЯ!$B$5:$K$8,MATCH($K30,СОБЫТИЯ!$A$5:$A$8,0),ИНФА!$F$5))</f>
        <v/>
      </c>
      <c r="Y30" s="42" t="str">
        <f aca="false">IF($C30="","",IF($W30=1,ROUND($L30*$O30*IF(AND($Q30&lt;&gt;"",$S30&lt;&gt;""),IF($S30&lt;ИНФА!$F$5,$R30,1),1)*$X30,0)-$M30+N($AF30)+N($AG30),0))</f>
        <v/>
      </c>
      <c r="Z30" s="38" t="str">
        <f aca="false">IF($C30="","",IF($T30="",INDEX(ИНФА!$M$5:$M$19,MATCH($C30,ИНФА!$I$5:$I$19,0)),0))</f>
        <v/>
      </c>
      <c r="AA30" s="38" t="str">
        <f aca="false">IF(OR($C30="",$T30=""),"",IF($V30&lt;&gt;"",$V30,INDEX(ИНФА!$N$5:$N$19,MATCH($C30,ИНФА!$I$5:$I$19,0))))</f>
        <v/>
      </c>
      <c r="AB30" s="37" t="str">
        <f aca="false">IF($C30="","",IF($T30&lt;&gt;"",IF($U30&lt;&gt;"","продано компании "&amp;$U30&amp;" в цикле "&amp;$T30,"продано Инфраструктуре в цикле "&amp;$T30),IF($D30&gt;=ИНФА!$F$5,"доход со следующего цикла","приносит доход")))</f>
        <v/>
      </c>
      <c r="AC30" s="47" t="str">
        <f aca="false">IF($C30="","",IF($F30="","",IF($E30="","укажите продавца; ",IF(OR($F30&lt;INDEX(ИНФА!$N$5:$N$19,MATCH($C30,ИНФА!$I$5:$I$19,0)),$F30&gt;INDEX(ИНФА!$M$5:$M$19,MATCH($C30,ИНФА!$I$5:$I$19,0))),"цена покупки вне коридора! ","")))&amp;IF($U30="","",IF(OR($V30="",$T30=""),"укажите цикл и цену продажи; ",IF(OR($V30&lt;INDEX(ИНФА!$N$5:$N$19,MATCH($C30,ИНФА!$I$5:$I$19,0)),$V30&gt;INDEX(ИНФА!$M$5:$M$19,MATCH($C30,ИНФА!$I$5:$I$19,0))),"цена продажи вне коридора! ","")))&amp;IF(AND($T30="",COUNTIFS($C$5:$C30,$C30,$T$5:$T30,"")&gt;INDEX(ИНФА!$Q$5:$Q$19,MATCH($C30,ИНФА!$I$5:$I$19,0))),"лотов нет! ","")&amp;IF(AND($E30&lt;&gt;"",$F30=""),"укажите цену сделки; ","")&amp;IF(AND(N($H30)&gt;0,OR($AD30="",$AD30="Профессия"),OR($H30&gt;ИНФА!$F$29,$I30&lt;INDEX(ИНФА!$N$5:$N$19,MATCH($C30,ИНФА!$I$5:$I$19,0))+ИНФА!$F$30)),"скидка больше лимита или цена ниже выкупа + 500! ","")&amp;IF($AE30="","",IF(IFERROR(INDEX($B$5:$B$204,MATCH($AE30,$A$5:$A$204,0))=$B30,TRUE()),"бизнес-пара — только со зданием другой компании; ",""))&amp;IF($Q30="","",IF(IFERROR(INDEX(НАУКА!$B$5:$B$44,MATCH($Q30,НАУКА!$A$5:$A$44,0))&lt;&gt;$B30,FALSE()),"патент другой компании — нужна лицензия или соглашение; ","")))</f>
        <v/>
      </c>
      <c r="AD30" s="44"/>
      <c r="AE30" s="44"/>
      <c r="AF30" s="38" t="str">
        <f aca="false">IF($C30="","",IF(AND($W30=1,OR($C30="Дом",$C30="Кафе")),ИНФА!$F$17*(COUNTIFS($B$5:$B30,$B30,$C$5:$C30,$C30,$W$5:$W30,1)&lt;=COUNTIFS($B$5:$B$204,$B30,$C$5:$C$204,"Парк",$W$5:$W$204,1)),0))</f>
        <v/>
      </c>
      <c r="AG30" s="38" t="str">
        <f aca="false">IF($C30="","",IF($W30=1,IF(OR(AND($AE30&lt;&gt;"",IFERROR(INDEX($W$5:$W$204,MATCH($AE30,$A$5:$A$204,0))=1,FALSE()),IFERROR(INDEX($B$5:$B$204,MATCH($AE30,$A$5:$A$204,0))&lt;&gt;$B30,FALSE())),COUNTIFS($AE$5:$AE$204,$A30,$W$5:$W$204,1,$B$5:$B$204,"&lt;&gt;"&amp;$B30)&gt;0),ИНФА!$F$31,0),0))</f>
        <v/>
      </c>
    </row>
    <row r="31" customFormat="false" ht="15" hidden="false" customHeight="false" outlineLevel="0" collapsed="false">
      <c r="A31" s="15" t="n">
        <v>27</v>
      </c>
      <c r="B31" s="44"/>
      <c r="C31" s="44"/>
      <c r="D31" s="44"/>
      <c r="E31" s="44"/>
      <c r="F31" s="43"/>
      <c r="G31" s="38" t="str">
        <f aca="false">IF($C31="","",IF($F31&lt;&gt;"",$F31,INDEX(ИНФА!$M$5:$M$19,MATCH($C31,ИНФА!$I$5:$I$19,0))))</f>
        <v/>
      </c>
      <c r="H31" s="43"/>
      <c r="I31" s="38" t="str">
        <f aca="false">IF($C31="","",G31-N(H31))</f>
        <v/>
      </c>
      <c r="J31" s="37" t="str">
        <f aca="false">IF($C31="","",INDEX(ИНФА!$J$5:$J$19,MATCH($C31,ИНФА!$I$5:$I$19,0)))</f>
        <v/>
      </c>
      <c r="K31" s="37" t="str">
        <f aca="false">IF($C31="","",INDEX(ИНФА!$K$5:$K$19,MATCH($C31,ИНФА!$I$5:$I$19,0)))</f>
        <v/>
      </c>
      <c r="L31" s="38" t="str">
        <f aca="false">IF($C31="","",INDEX(ИНФА!$O$5:$O$19,MATCH($C31,ИНФА!$I$5:$I$19,0)))</f>
        <v/>
      </c>
      <c r="M31" s="38" t="str">
        <f aca="false">IF($C31="","",INDEX(ИНФА!$P$5:$P$19,MATCH($C31,ИНФА!$I$5:$I$19,0)))</f>
        <v/>
      </c>
      <c r="N31" s="44"/>
      <c r="O31" s="48" t="n">
        <f aca="false">IF(OR($C31="",$N31=""),1,IF(AND($J31="Услуги",IFERROR(INDEX($C$5:$C$204,MATCH($N31,$A$5:$A$204,0))=INDEX(ИНФА!$L$5:$L$19,MATCH($C31,ИНФА!$I$5:$I$19,0)),FALSE()),IFERROR(INDEX($W$5:$W$204,MATCH($N31,$A$5:$A$204,0))=1,FALSE()),COUNTIF($N$5:$N31,$N31)&lt;=ИНФА!$F$16),1+ИНФА!$F$15,1))</f>
        <v>1</v>
      </c>
      <c r="P31" s="47" t="str">
        <f aca="false">IF($C31="","",IF($J31&lt;&gt;"Услуги","",IF($N31="","нет поставщика — нужен "&amp;INDEX(ИНФА!$L$5:$L$19,MATCH($C31,ИНФА!$I$5:$I$19,0)),IF($O31&gt;1,"✓ поставка работает (+50%)",IF(IFERROR(INDEX($C$5:$C$204,MATCH($N31,$A$5:$A$204,0))&lt;&gt;INDEX(ИНФА!$L$5:$L$19,MATCH($C31,ИНФА!$I$5:$I$19,0)),TRUE()),"не тот поставщик: нужен "&amp;INDEX(ИНФА!$L$5:$L$19,MATCH($C31,ИНФА!$I$5:$I$19,0)),IF(COUNTIF($N$5:$N31,$N31)&gt;ИНФА!$F$16,"поставщик перегружен","поставщик ещё не работает или продан"))))))</f>
        <v/>
      </c>
      <c r="Q31" s="44"/>
      <c r="R31" s="48" t="str">
        <f aca="false">IF($C31="","",IF($Q31="",1,IFERROR(INDEX(НАУКА!$K$5:$K$44,MATCH($Q31,НАУКА!$A$5:$A$44,0)),1)))</f>
        <v/>
      </c>
      <c r="S31" s="37" t="str">
        <f aca="false">IF($Q31="","",IFERROR(INDEX(НАУКА!$G$5:$G$44,MATCH($Q31,НАУКА!$A$5:$A$44,0)),""))</f>
        <v/>
      </c>
      <c r="T31" s="44"/>
      <c r="U31" s="44"/>
      <c r="V31" s="43"/>
      <c r="W31" s="37" t="n">
        <f aca="false">IF(OR($C31="",$D31=""),0,IF(AND($D31&lt;ИНФА!$F$5,OR($T31="",$T31&gt;=ИНФА!$F$5)),1,0))</f>
        <v>0</v>
      </c>
      <c r="X31" s="46" t="str">
        <f aca="false">IF($C31="","",INDEX(СОБЫТИЯ!$B$5:$K$8,MATCH($K31,СОБЫТИЯ!$A$5:$A$8,0),ИНФА!$F$5))</f>
        <v/>
      </c>
      <c r="Y31" s="42" t="str">
        <f aca="false">IF($C31="","",IF($W31=1,ROUND($L31*$O31*IF(AND($Q31&lt;&gt;"",$S31&lt;&gt;""),IF($S31&lt;ИНФА!$F$5,$R31,1),1)*$X31,0)-$M31+N($AF31)+N($AG31),0))</f>
        <v/>
      </c>
      <c r="Z31" s="38" t="str">
        <f aca="false">IF($C31="","",IF($T31="",INDEX(ИНФА!$M$5:$M$19,MATCH($C31,ИНФА!$I$5:$I$19,0)),0))</f>
        <v/>
      </c>
      <c r="AA31" s="38" t="str">
        <f aca="false">IF(OR($C31="",$T31=""),"",IF($V31&lt;&gt;"",$V31,INDEX(ИНФА!$N$5:$N$19,MATCH($C31,ИНФА!$I$5:$I$19,0))))</f>
        <v/>
      </c>
      <c r="AB31" s="37" t="str">
        <f aca="false">IF($C31="","",IF($T31&lt;&gt;"",IF($U31&lt;&gt;"","продано компании "&amp;$U31&amp;" в цикле "&amp;$T31,"продано Инфраструктуре в цикле "&amp;$T31),IF($D31&gt;=ИНФА!$F$5,"доход со следующего цикла","приносит доход")))</f>
        <v/>
      </c>
      <c r="AC31" s="47" t="str">
        <f aca="false">IF($C31="","",IF($F31="","",IF($E31="","укажите продавца; ",IF(OR($F31&lt;INDEX(ИНФА!$N$5:$N$19,MATCH($C31,ИНФА!$I$5:$I$19,0)),$F31&gt;INDEX(ИНФА!$M$5:$M$19,MATCH($C31,ИНФА!$I$5:$I$19,0))),"цена покупки вне коридора! ","")))&amp;IF($U31="","",IF(OR($V31="",$T31=""),"укажите цикл и цену продажи; ",IF(OR($V31&lt;INDEX(ИНФА!$N$5:$N$19,MATCH($C31,ИНФА!$I$5:$I$19,0)),$V31&gt;INDEX(ИНФА!$M$5:$M$19,MATCH($C31,ИНФА!$I$5:$I$19,0))),"цена продажи вне коридора! ","")))&amp;IF(AND($T31="",COUNTIFS($C$5:$C31,$C31,$T$5:$T31,"")&gt;INDEX(ИНФА!$Q$5:$Q$19,MATCH($C31,ИНФА!$I$5:$I$19,0))),"лотов нет! ","")&amp;IF(AND($E31&lt;&gt;"",$F31=""),"укажите цену сделки; ","")&amp;IF(AND(N($H31)&gt;0,OR($AD31="",$AD31="Профессия"),OR($H31&gt;ИНФА!$F$29,$I31&lt;INDEX(ИНФА!$N$5:$N$19,MATCH($C31,ИНФА!$I$5:$I$19,0))+ИНФА!$F$30)),"скидка больше лимита или цена ниже выкупа + 500! ","")&amp;IF($AE31="","",IF(IFERROR(INDEX($B$5:$B$204,MATCH($AE31,$A$5:$A$204,0))=$B31,TRUE()),"бизнес-пара — только со зданием другой компании; ",""))&amp;IF($Q31="","",IF(IFERROR(INDEX(НАУКА!$B$5:$B$44,MATCH($Q31,НАУКА!$A$5:$A$44,0))&lt;&gt;$B31,FALSE()),"патент другой компании — нужна лицензия или соглашение; ","")))</f>
        <v/>
      </c>
      <c r="AD31" s="44"/>
      <c r="AE31" s="44"/>
      <c r="AF31" s="38" t="str">
        <f aca="false">IF($C31="","",IF(AND($W31=1,OR($C31="Дом",$C31="Кафе")),ИНФА!$F$17*(COUNTIFS($B$5:$B31,$B31,$C$5:$C31,$C31,$W$5:$W31,1)&lt;=COUNTIFS($B$5:$B$204,$B31,$C$5:$C$204,"Парк",$W$5:$W$204,1)),0))</f>
        <v/>
      </c>
      <c r="AG31" s="38" t="str">
        <f aca="false">IF($C31="","",IF($W31=1,IF(OR(AND($AE31&lt;&gt;"",IFERROR(INDEX($W$5:$W$204,MATCH($AE31,$A$5:$A$204,0))=1,FALSE()),IFERROR(INDEX($B$5:$B$204,MATCH($AE31,$A$5:$A$204,0))&lt;&gt;$B31,FALSE())),COUNTIFS($AE$5:$AE$204,$A31,$W$5:$W$204,1,$B$5:$B$204,"&lt;&gt;"&amp;$B31)&gt;0),ИНФА!$F$31,0),0))</f>
        <v/>
      </c>
    </row>
    <row r="32" customFormat="false" ht="15" hidden="false" customHeight="false" outlineLevel="0" collapsed="false">
      <c r="A32" s="15" t="n">
        <v>28</v>
      </c>
      <c r="B32" s="44"/>
      <c r="C32" s="44"/>
      <c r="D32" s="44"/>
      <c r="E32" s="44"/>
      <c r="F32" s="43"/>
      <c r="G32" s="38" t="str">
        <f aca="false">IF($C32="","",IF($F32&lt;&gt;"",$F32,INDEX(ИНФА!$M$5:$M$19,MATCH($C32,ИНФА!$I$5:$I$19,0))))</f>
        <v/>
      </c>
      <c r="H32" s="43"/>
      <c r="I32" s="38" t="str">
        <f aca="false">IF($C32="","",G32-N(H32))</f>
        <v/>
      </c>
      <c r="J32" s="37" t="str">
        <f aca="false">IF($C32="","",INDEX(ИНФА!$J$5:$J$19,MATCH($C32,ИНФА!$I$5:$I$19,0)))</f>
        <v/>
      </c>
      <c r="K32" s="37" t="str">
        <f aca="false">IF($C32="","",INDEX(ИНФА!$K$5:$K$19,MATCH($C32,ИНФА!$I$5:$I$19,0)))</f>
        <v/>
      </c>
      <c r="L32" s="38" t="str">
        <f aca="false">IF($C32="","",INDEX(ИНФА!$O$5:$O$19,MATCH($C32,ИНФА!$I$5:$I$19,0)))</f>
        <v/>
      </c>
      <c r="M32" s="38" t="str">
        <f aca="false">IF($C32="","",INDEX(ИНФА!$P$5:$P$19,MATCH($C32,ИНФА!$I$5:$I$19,0)))</f>
        <v/>
      </c>
      <c r="N32" s="44"/>
      <c r="O32" s="48" t="n">
        <f aca="false">IF(OR($C32="",$N32=""),1,IF(AND($J32="Услуги",IFERROR(INDEX($C$5:$C$204,MATCH($N32,$A$5:$A$204,0))=INDEX(ИНФА!$L$5:$L$19,MATCH($C32,ИНФА!$I$5:$I$19,0)),FALSE()),IFERROR(INDEX($W$5:$W$204,MATCH($N32,$A$5:$A$204,0))=1,FALSE()),COUNTIF($N$5:$N32,$N32)&lt;=ИНФА!$F$16),1+ИНФА!$F$15,1))</f>
        <v>1</v>
      </c>
      <c r="P32" s="47" t="str">
        <f aca="false">IF($C32="","",IF($J32&lt;&gt;"Услуги","",IF($N32="","нет поставщика — нужен "&amp;INDEX(ИНФА!$L$5:$L$19,MATCH($C32,ИНФА!$I$5:$I$19,0)),IF($O32&gt;1,"✓ поставка работает (+50%)",IF(IFERROR(INDEX($C$5:$C$204,MATCH($N32,$A$5:$A$204,0))&lt;&gt;INDEX(ИНФА!$L$5:$L$19,MATCH($C32,ИНФА!$I$5:$I$19,0)),TRUE()),"не тот поставщик: нужен "&amp;INDEX(ИНФА!$L$5:$L$19,MATCH($C32,ИНФА!$I$5:$I$19,0)),IF(COUNTIF($N$5:$N32,$N32)&gt;ИНФА!$F$16,"поставщик перегружен","поставщик ещё не работает или продан"))))))</f>
        <v/>
      </c>
      <c r="Q32" s="44"/>
      <c r="R32" s="48" t="str">
        <f aca="false">IF($C32="","",IF($Q32="",1,IFERROR(INDEX(НАУКА!$K$5:$K$44,MATCH($Q32,НАУКА!$A$5:$A$44,0)),1)))</f>
        <v/>
      </c>
      <c r="S32" s="37" t="str">
        <f aca="false">IF($Q32="","",IFERROR(INDEX(НАУКА!$G$5:$G$44,MATCH($Q32,НАУКА!$A$5:$A$44,0)),""))</f>
        <v/>
      </c>
      <c r="T32" s="44"/>
      <c r="U32" s="44"/>
      <c r="V32" s="43"/>
      <c r="W32" s="37" t="n">
        <f aca="false">IF(OR($C32="",$D32=""),0,IF(AND($D32&lt;ИНФА!$F$5,OR($T32="",$T32&gt;=ИНФА!$F$5)),1,0))</f>
        <v>0</v>
      </c>
      <c r="X32" s="46" t="str">
        <f aca="false">IF($C32="","",INDEX(СОБЫТИЯ!$B$5:$K$8,MATCH($K32,СОБЫТИЯ!$A$5:$A$8,0),ИНФА!$F$5))</f>
        <v/>
      </c>
      <c r="Y32" s="42" t="str">
        <f aca="false">IF($C32="","",IF($W32=1,ROUND($L32*$O32*IF(AND($Q32&lt;&gt;"",$S32&lt;&gt;""),IF($S32&lt;ИНФА!$F$5,$R32,1),1)*$X32,0)-$M32+N($AF32)+N($AG32),0))</f>
        <v/>
      </c>
      <c r="Z32" s="38" t="str">
        <f aca="false">IF($C32="","",IF($T32="",INDEX(ИНФА!$M$5:$M$19,MATCH($C32,ИНФА!$I$5:$I$19,0)),0))</f>
        <v/>
      </c>
      <c r="AA32" s="38" t="str">
        <f aca="false">IF(OR($C32="",$T32=""),"",IF($V32&lt;&gt;"",$V32,INDEX(ИНФА!$N$5:$N$19,MATCH($C32,ИНФА!$I$5:$I$19,0))))</f>
        <v/>
      </c>
      <c r="AB32" s="37" t="str">
        <f aca="false">IF($C32="","",IF($T32&lt;&gt;"",IF($U32&lt;&gt;"","продано компании "&amp;$U32&amp;" в цикле "&amp;$T32,"продано Инфраструктуре в цикле "&amp;$T32),IF($D32&gt;=ИНФА!$F$5,"доход со следующего цикла","приносит доход")))</f>
        <v/>
      </c>
      <c r="AC32" s="47" t="str">
        <f aca="false">IF($C32="","",IF($F32="","",IF($E32="","укажите продавца; ",IF(OR($F32&lt;INDEX(ИНФА!$N$5:$N$19,MATCH($C32,ИНФА!$I$5:$I$19,0)),$F32&gt;INDEX(ИНФА!$M$5:$M$19,MATCH($C32,ИНФА!$I$5:$I$19,0))),"цена покупки вне коридора! ","")))&amp;IF($U32="","",IF(OR($V32="",$T32=""),"укажите цикл и цену продажи; ",IF(OR($V32&lt;INDEX(ИНФА!$N$5:$N$19,MATCH($C32,ИНФА!$I$5:$I$19,0)),$V32&gt;INDEX(ИНФА!$M$5:$M$19,MATCH($C32,ИНФА!$I$5:$I$19,0))),"цена продажи вне коридора! ","")))&amp;IF(AND($T32="",COUNTIFS($C$5:$C32,$C32,$T$5:$T32,"")&gt;INDEX(ИНФА!$Q$5:$Q$19,MATCH($C32,ИНФА!$I$5:$I$19,0))),"лотов нет! ","")&amp;IF(AND($E32&lt;&gt;"",$F32=""),"укажите цену сделки; ","")&amp;IF(AND(N($H32)&gt;0,OR($AD32="",$AD32="Профессия"),OR($H32&gt;ИНФА!$F$29,$I32&lt;INDEX(ИНФА!$N$5:$N$19,MATCH($C32,ИНФА!$I$5:$I$19,0))+ИНФА!$F$30)),"скидка больше лимита или цена ниже выкупа + 500! ","")&amp;IF($AE32="","",IF(IFERROR(INDEX($B$5:$B$204,MATCH($AE32,$A$5:$A$204,0))=$B32,TRUE()),"бизнес-пара — только со зданием другой компании; ",""))&amp;IF($Q32="","",IF(IFERROR(INDEX(НАУКА!$B$5:$B$44,MATCH($Q32,НАУКА!$A$5:$A$44,0))&lt;&gt;$B32,FALSE()),"патент другой компании — нужна лицензия или соглашение; ","")))</f>
        <v/>
      </c>
      <c r="AD32" s="44"/>
      <c r="AE32" s="44"/>
      <c r="AF32" s="38" t="str">
        <f aca="false">IF($C32="","",IF(AND($W32=1,OR($C32="Дом",$C32="Кафе")),ИНФА!$F$17*(COUNTIFS($B$5:$B32,$B32,$C$5:$C32,$C32,$W$5:$W32,1)&lt;=COUNTIFS($B$5:$B$204,$B32,$C$5:$C$204,"Парк",$W$5:$W$204,1)),0))</f>
        <v/>
      </c>
      <c r="AG32" s="38" t="str">
        <f aca="false">IF($C32="","",IF($W32=1,IF(OR(AND($AE32&lt;&gt;"",IFERROR(INDEX($W$5:$W$204,MATCH($AE32,$A$5:$A$204,0))=1,FALSE()),IFERROR(INDEX($B$5:$B$204,MATCH($AE32,$A$5:$A$204,0))&lt;&gt;$B32,FALSE())),COUNTIFS($AE$5:$AE$204,$A32,$W$5:$W$204,1,$B$5:$B$204,"&lt;&gt;"&amp;$B32)&gt;0),ИНФА!$F$31,0),0))</f>
        <v/>
      </c>
    </row>
    <row r="33" customFormat="false" ht="15" hidden="false" customHeight="false" outlineLevel="0" collapsed="false">
      <c r="A33" s="15" t="n">
        <v>29</v>
      </c>
      <c r="B33" s="44"/>
      <c r="C33" s="44"/>
      <c r="D33" s="44"/>
      <c r="E33" s="44"/>
      <c r="F33" s="43"/>
      <c r="G33" s="38" t="str">
        <f aca="false">IF($C33="","",IF($F33&lt;&gt;"",$F33,INDEX(ИНФА!$M$5:$M$19,MATCH($C33,ИНФА!$I$5:$I$19,0))))</f>
        <v/>
      </c>
      <c r="H33" s="43"/>
      <c r="I33" s="38" t="str">
        <f aca="false">IF($C33="","",G33-N(H33))</f>
        <v/>
      </c>
      <c r="J33" s="37" t="str">
        <f aca="false">IF($C33="","",INDEX(ИНФА!$J$5:$J$19,MATCH($C33,ИНФА!$I$5:$I$19,0)))</f>
        <v/>
      </c>
      <c r="K33" s="37" t="str">
        <f aca="false">IF($C33="","",INDEX(ИНФА!$K$5:$K$19,MATCH($C33,ИНФА!$I$5:$I$19,0)))</f>
        <v/>
      </c>
      <c r="L33" s="38" t="str">
        <f aca="false">IF($C33="","",INDEX(ИНФА!$O$5:$O$19,MATCH($C33,ИНФА!$I$5:$I$19,0)))</f>
        <v/>
      </c>
      <c r="M33" s="38" t="str">
        <f aca="false">IF($C33="","",INDEX(ИНФА!$P$5:$P$19,MATCH($C33,ИНФА!$I$5:$I$19,0)))</f>
        <v/>
      </c>
      <c r="N33" s="44"/>
      <c r="O33" s="48" t="n">
        <f aca="false">IF(OR($C33="",$N33=""),1,IF(AND($J33="Услуги",IFERROR(INDEX($C$5:$C$204,MATCH($N33,$A$5:$A$204,0))=INDEX(ИНФА!$L$5:$L$19,MATCH($C33,ИНФА!$I$5:$I$19,0)),FALSE()),IFERROR(INDEX($W$5:$W$204,MATCH($N33,$A$5:$A$204,0))=1,FALSE()),COUNTIF($N$5:$N33,$N33)&lt;=ИНФА!$F$16),1+ИНФА!$F$15,1))</f>
        <v>1</v>
      </c>
      <c r="P33" s="47" t="str">
        <f aca="false">IF($C33="","",IF($J33&lt;&gt;"Услуги","",IF($N33="","нет поставщика — нужен "&amp;INDEX(ИНФА!$L$5:$L$19,MATCH($C33,ИНФА!$I$5:$I$19,0)),IF($O33&gt;1,"✓ поставка работает (+50%)",IF(IFERROR(INDEX($C$5:$C$204,MATCH($N33,$A$5:$A$204,0))&lt;&gt;INDEX(ИНФА!$L$5:$L$19,MATCH($C33,ИНФА!$I$5:$I$19,0)),TRUE()),"не тот поставщик: нужен "&amp;INDEX(ИНФА!$L$5:$L$19,MATCH($C33,ИНФА!$I$5:$I$19,0)),IF(COUNTIF($N$5:$N33,$N33)&gt;ИНФА!$F$16,"поставщик перегружен","поставщик ещё не работает или продан"))))))</f>
        <v/>
      </c>
      <c r="Q33" s="44"/>
      <c r="R33" s="48" t="str">
        <f aca="false">IF($C33="","",IF($Q33="",1,IFERROR(INDEX(НАУКА!$K$5:$K$44,MATCH($Q33,НАУКА!$A$5:$A$44,0)),1)))</f>
        <v/>
      </c>
      <c r="S33" s="37" t="str">
        <f aca="false">IF($Q33="","",IFERROR(INDEX(НАУКА!$G$5:$G$44,MATCH($Q33,НАУКА!$A$5:$A$44,0)),""))</f>
        <v/>
      </c>
      <c r="T33" s="44"/>
      <c r="U33" s="44"/>
      <c r="V33" s="43"/>
      <c r="W33" s="37" t="n">
        <f aca="false">IF(OR($C33="",$D33=""),0,IF(AND($D33&lt;ИНФА!$F$5,OR($T33="",$T33&gt;=ИНФА!$F$5)),1,0))</f>
        <v>0</v>
      </c>
      <c r="X33" s="46" t="str">
        <f aca="false">IF($C33="","",INDEX(СОБЫТИЯ!$B$5:$K$8,MATCH($K33,СОБЫТИЯ!$A$5:$A$8,0),ИНФА!$F$5))</f>
        <v/>
      </c>
      <c r="Y33" s="42" t="str">
        <f aca="false">IF($C33="","",IF($W33=1,ROUND($L33*$O33*IF(AND($Q33&lt;&gt;"",$S33&lt;&gt;""),IF($S33&lt;ИНФА!$F$5,$R33,1),1)*$X33,0)-$M33+N($AF33)+N($AG33),0))</f>
        <v/>
      </c>
      <c r="Z33" s="38" t="str">
        <f aca="false">IF($C33="","",IF($T33="",INDEX(ИНФА!$M$5:$M$19,MATCH($C33,ИНФА!$I$5:$I$19,0)),0))</f>
        <v/>
      </c>
      <c r="AA33" s="38" t="str">
        <f aca="false">IF(OR($C33="",$T33=""),"",IF($V33&lt;&gt;"",$V33,INDEX(ИНФА!$N$5:$N$19,MATCH($C33,ИНФА!$I$5:$I$19,0))))</f>
        <v/>
      </c>
      <c r="AB33" s="37" t="str">
        <f aca="false">IF($C33="","",IF($T33&lt;&gt;"",IF($U33&lt;&gt;"","продано компании "&amp;$U33&amp;" в цикле "&amp;$T33,"продано Инфраструктуре в цикле "&amp;$T33),IF($D33&gt;=ИНФА!$F$5,"доход со следующего цикла","приносит доход")))</f>
        <v/>
      </c>
      <c r="AC33" s="47" t="str">
        <f aca="false">IF($C33="","",IF($F33="","",IF($E33="","укажите продавца; ",IF(OR($F33&lt;INDEX(ИНФА!$N$5:$N$19,MATCH($C33,ИНФА!$I$5:$I$19,0)),$F33&gt;INDEX(ИНФА!$M$5:$M$19,MATCH($C33,ИНФА!$I$5:$I$19,0))),"цена покупки вне коридора! ","")))&amp;IF($U33="","",IF(OR($V33="",$T33=""),"укажите цикл и цену продажи; ",IF(OR($V33&lt;INDEX(ИНФА!$N$5:$N$19,MATCH($C33,ИНФА!$I$5:$I$19,0)),$V33&gt;INDEX(ИНФА!$M$5:$M$19,MATCH($C33,ИНФА!$I$5:$I$19,0))),"цена продажи вне коридора! ","")))&amp;IF(AND($T33="",COUNTIFS($C$5:$C33,$C33,$T$5:$T33,"")&gt;INDEX(ИНФА!$Q$5:$Q$19,MATCH($C33,ИНФА!$I$5:$I$19,0))),"лотов нет! ","")&amp;IF(AND($E33&lt;&gt;"",$F33=""),"укажите цену сделки; ","")&amp;IF(AND(N($H33)&gt;0,OR($AD33="",$AD33="Профессия"),OR($H33&gt;ИНФА!$F$29,$I33&lt;INDEX(ИНФА!$N$5:$N$19,MATCH($C33,ИНФА!$I$5:$I$19,0))+ИНФА!$F$30)),"скидка больше лимита или цена ниже выкупа + 500! ","")&amp;IF($AE33="","",IF(IFERROR(INDEX($B$5:$B$204,MATCH($AE33,$A$5:$A$204,0))=$B33,TRUE()),"бизнес-пара — только со зданием другой компании; ",""))&amp;IF($Q33="","",IF(IFERROR(INDEX(НАУКА!$B$5:$B$44,MATCH($Q33,НАУКА!$A$5:$A$44,0))&lt;&gt;$B33,FALSE()),"патент другой компании — нужна лицензия или соглашение; ","")))</f>
        <v/>
      </c>
      <c r="AD33" s="44"/>
      <c r="AE33" s="44"/>
      <c r="AF33" s="38" t="str">
        <f aca="false">IF($C33="","",IF(AND($W33=1,OR($C33="Дом",$C33="Кафе")),ИНФА!$F$17*(COUNTIFS($B$5:$B33,$B33,$C$5:$C33,$C33,$W$5:$W33,1)&lt;=COUNTIFS($B$5:$B$204,$B33,$C$5:$C$204,"Парк",$W$5:$W$204,1)),0))</f>
        <v/>
      </c>
      <c r="AG33" s="38" t="str">
        <f aca="false">IF($C33="","",IF($W33=1,IF(OR(AND($AE33&lt;&gt;"",IFERROR(INDEX($W$5:$W$204,MATCH($AE33,$A$5:$A$204,0))=1,FALSE()),IFERROR(INDEX($B$5:$B$204,MATCH($AE33,$A$5:$A$204,0))&lt;&gt;$B33,FALSE())),COUNTIFS($AE$5:$AE$204,$A33,$W$5:$W$204,1,$B$5:$B$204,"&lt;&gt;"&amp;$B33)&gt;0),ИНФА!$F$31,0),0))</f>
        <v/>
      </c>
    </row>
    <row r="34" customFormat="false" ht="15" hidden="false" customHeight="false" outlineLevel="0" collapsed="false">
      <c r="A34" s="15" t="n">
        <v>30</v>
      </c>
      <c r="B34" s="44"/>
      <c r="C34" s="44"/>
      <c r="D34" s="44"/>
      <c r="E34" s="44"/>
      <c r="F34" s="43"/>
      <c r="G34" s="38" t="str">
        <f aca="false">IF($C34="","",IF($F34&lt;&gt;"",$F34,INDEX(ИНФА!$M$5:$M$19,MATCH($C34,ИНФА!$I$5:$I$19,0))))</f>
        <v/>
      </c>
      <c r="H34" s="43"/>
      <c r="I34" s="38" t="str">
        <f aca="false">IF($C34="","",G34-N(H34))</f>
        <v/>
      </c>
      <c r="J34" s="37" t="str">
        <f aca="false">IF($C34="","",INDEX(ИНФА!$J$5:$J$19,MATCH($C34,ИНФА!$I$5:$I$19,0)))</f>
        <v/>
      </c>
      <c r="K34" s="37" t="str">
        <f aca="false">IF($C34="","",INDEX(ИНФА!$K$5:$K$19,MATCH($C34,ИНФА!$I$5:$I$19,0)))</f>
        <v/>
      </c>
      <c r="L34" s="38" t="str">
        <f aca="false">IF($C34="","",INDEX(ИНФА!$O$5:$O$19,MATCH($C34,ИНФА!$I$5:$I$19,0)))</f>
        <v/>
      </c>
      <c r="M34" s="38" t="str">
        <f aca="false">IF($C34="","",INDEX(ИНФА!$P$5:$P$19,MATCH($C34,ИНФА!$I$5:$I$19,0)))</f>
        <v/>
      </c>
      <c r="N34" s="44"/>
      <c r="O34" s="48" t="n">
        <f aca="false">IF(OR($C34="",$N34=""),1,IF(AND($J34="Услуги",IFERROR(INDEX($C$5:$C$204,MATCH($N34,$A$5:$A$204,0))=INDEX(ИНФА!$L$5:$L$19,MATCH($C34,ИНФА!$I$5:$I$19,0)),FALSE()),IFERROR(INDEX($W$5:$W$204,MATCH($N34,$A$5:$A$204,0))=1,FALSE()),COUNTIF($N$5:$N34,$N34)&lt;=ИНФА!$F$16),1+ИНФА!$F$15,1))</f>
        <v>1</v>
      </c>
      <c r="P34" s="47" t="str">
        <f aca="false">IF($C34="","",IF($J34&lt;&gt;"Услуги","",IF($N34="","нет поставщика — нужен "&amp;INDEX(ИНФА!$L$5:$L$19,MATCH($C34,ИНФА!$I$5:$I$19,0)),IF($O34&gt;1,"✓ поставка работает (+50%)",IF(IFERROR(INDEX($C$5:$C$204,MATCH($N34,$A$5:$A$204,0))&lt;&gt;INDEX(ИНФА!$L$5:$L$19,MATCH($C34,ИНФА!$I$5:$I$19,0)),TRUE()),"не тот поставщик: нужен "&amp;INDEX(ИНФА!$L$5:$L$19,MATCH($C34,ИНФА!$I$5:$I$19,0)),IF(COUNTIF($N$5:$N34,$N34)&gt;ИНФА!$F$16,"поставщик перегружен","поставщик ещё не работает или продан"))))))</f>
        <v/>
      </c>
      <c r="Q34" s="44"/>
      <c r="R34" s="48" t="str">
        <f aca="false">IF($C34="","",IF($Q34="",1,IFERROR(INDEX(НАУКА!$K$5:$K$44,MATCH($Q34,НАУКА!$A$5:$A$44,0)),1)))</f>
        <v/>
      </c>
      <c r="S34" s="37" t="str">
        <f aca="false">IF($Q34="","",IFERROR(INDEX(НАУКА!$G$5:$G$44,MATCH($Q34,НАУКА!$A$5:$A$44,0)),""))</f>
        <v/>
      </c>
      <c r="T34" s="44"/>
      <c r="U34" s="44"/>
      <c r="V34" s="43"/>
      <c r="W34" s="37" t="n">
        <f aca="false">IF(OR($C34="",$D34=""),0,IF(AND($D34&lt;ИНФА!$F$5,OR($T34="",$T34&gt;=ИНФА!$F$5)),1,0))</f>
        <v>0</v>
      </c>
      <c r="X34" s="46" t="str">
        <f aca="false">IF($C34="","",INDEX(СОБЫТИЯ!$B$5:$K$8,MATCH($K34,СОБЫТИЯ!$A$5:$A$8,0),ИНФА!$F$5))</f>
        <v/>
      </c>
      <c r="Y34" s="42" t="str">
        <f aca="false">IF($C34="","",IF($W34=1,ROUND($L34*$O34*IF(AND($Q34&lt;&gt;"",$S34&lt;&gt;""),IF($S34&lt;ИНФА!$F$5,$R34,1),1)*$X34,0)-$M34+N($AF34)+N($AG34),0))</f>
        <v/>
      </c>
      <c r="Z34" s="38" t="str">
        <f aca="false">IF($C34="","",IF($T34="",INDEX(ИНФА!$M$5:$M$19,MATCH($C34,ИНФА!$I$5:$I$19,0)),0))</f>
        <v/>
      </c>
      <c r="AA34" s="38" t="str">
        <f aca="false">IF(OR($C34="",$T34=""),"",IF($V34&lt;&gt;"",$V34,INDEX(ИНФА!$N$5:$N$19,MATCH($C34,ИНФА!$I$5:$I$19,0))))</f>
        <v/>
      </c>
      <c r="AB34" s="37" t="str">
        <f aca="false">IF($C34="","",IF($T34&lt;&gt;"",IF($U34&lt;&gt;"","продано компании "&amp;$U34&amp;" в цикле "&amp;$T34,"продано Инфраструктуре в цикле "&amp;$T34),IF($D34&gt;=ИНФА!$F$5,"доход со следующего цикла","приносит доход")))</f>
        <v/>
      </c>
      <c r="AC34" s="47" t="str">
        <f aca="false">IF($C34="","",IF($F34="","",IF($E34="","укажите продавца; ",IF(OR($F34&lt;INDEX(ИНФА!$N$5:$N$19,MATCH($C34,ИНФА!$I$5:$I$19,0)),$F34&gt;INDEX(ИНФА!$M$5:$M$19,MATCH($C34,ИНФА!$I$5:$I$19,0))),"цена покупки вне коридора! ","")))&amp;IF($U34="","",IF(OR($V34="",$T34=""),"укажите цикл и цену продажи; ",IF(OR($V34&lt;INDEX(ИНФА!$N$5:$N$19,MATCH($C34,ИНФА!$I$5:$I$19,0)),$V34&gt;INDEX(ИНФА!$M$5:$M$19,MATCH($C34,ИНФА!$I$5:$I$19,0))),"цена продажи вне коридора! ","")))&amp;IF(AND($T34="",COUNTIFS($C$5:$C34,$C34,$T$5:$T34,"")&gt;INDEX(ИНФА!$Q$5:$Q$19,MATCH($C34,ИНФА!$I$5:$I$19,0))),"лотов нет! ","")&amp;IF(AND($E34&lt;&gt;"",$F34=""),"укажите цену сделки; ","")&amp;IF(AND(N($H34)&gt;0,OR($AD34="",$AD34="Профессия"),OR($H34&gt;ИНФА!$F$29,$I34&lt;INDEX(ИНФА!$N$5:$N$19,MATCH($C34,ИНФА!$I$5:$I$19,0))+ИНФА!$F$30)),"скидка больше лимита или цена ниже выкупа + 500! ","")&amp;IF($AE34="","",IF(IFERROR(INDEX($B$5:$B$204,MATCH($AE34,$A$5:$A$204,0))=$B34,TRUE()),"бизнес-пара — только со зданием другой компании; ",""))&amp;IF($Q34="","",IF(IFERROR(INDEX(НАУКА!$B$5:$B$44,MATCH($Q34,НАУКА!$A$5:$A$44,0))&lt;&gt;$B34,FALSE()),"патент другой компании — нужна лицензия или соглашение; ","")))</f>
        <v/>
      </c>
      <c r="AD34" s="44"/>
      <c r="AE34" s="44"/>
      <c r="AF34" s="38" t="str">
        <f aca="false">IF($C34="","",IF(AND($W34=1,OR($C34="Дом",$C34="Кафе")),ИНФА!$F$17*(COUNTIFS($B$5:$B34,$B34,$C$5:$C34,$C34,$W$5:$W34,1)&lt;=COUNTIFS($B$5:$B$204,$B34,$C$5:$C$204,"Парк",$W$5:$W$204,1)),0))</f>
        <v/>
      </c>
      <c r="AG34" s="38" t="str">
        <f aca="false">IF($C34="","",IF($W34=1,IF(OR(AND($AE34&lt;&gt;"",IFERROR(INDEX($W$5:$W$204,MATCH($AE34,$A$5:$A$204,0))=1,FALSE()),IFERROR(INDEX($B$5:$B$204,MATCH($AE34,$A$5:$A$204,0))&lt;&gt;$B34,FALSE())),COUNTIFS($AE$5:$AE$204,$A34,$W$5:$W$204,1,$B$5:$B$204,"&lt;&gt;"&amp;$B34)&gt;0),ИНФА!$F$31,0),0))</f>
        <v/>
      </c>
    </row>
    <row r="35" customFormat="false" ht="15" hidden="false" customHeight="false" outlineLevel="0" collapsed="false">
      <c r="A35" s="15" t="n">
        <v>31</v>
      </c>
      <c r="B35" s="44"/>
      <c r="C35" s="44"/>
      <c r="D35" s="44"/>
      <c r="E35" s="44"/>
      <c r="F35" s="43"/>
      <c r="G35" s="38" t="str">
        <f aca="false">IF($C35="","",IF($F35&lt;&gt;"",$F35,INDEX(ИНФА!$M$5:$M$19,MATCH($C35,ИНФА!$I$5:$I$19,0))))</f>
        <v/>
      </c>
      <c r="H35" s="43"/>
      <c r="I35" s="38" t="str">
        <f aca="false">IF($C35="","",G35-N(H35))</f>
        <v/>
      </c>
      <c r="J35" s="37" t="str">
        <f aca="false">IF($C35="","",INDEX(ИНФА!$J$5:$J$19,MATCH($C35,ИНФА!$I$5:$I$19,0)))</f>
        <v/>
      </c>
      <c r="K35" s="37" t="str">
        <f aca="false">IF($C35="","",INDEX(ИНФА!$K$5:$K$19,MATCH($C35,ИНФА!$I$5:$I$19,0)))</f>
        <v/>
      </c>
      <c r="L35" s="38" t="str">
        <f aca="false">IF($C35="","",INDEX(ИНФА!$O$5:$O$19,MATCH($C35,ИНФА!$I$5:$I$19,0)))</f>
        <v/>
      </c>
      <c r="M35" s="38" t="str">
        <f aca="false">IF($C35="","",INDEX(ИНФА!$P$5:$P$19,MATCH($C35,ИНФА!$I$5:$I$19,0)))</f>
        <v/>
      </c>
      <c r="N35" s="44"/>
      <c r="O35" s="48" t="n">
        <f aca="false">IF(OR($C35="",$N35=""),1,IF(AND($J35="Услуги",IFERROR(INDEX($C$5:$C$204,MATCH($N35,$A$5:$A$204,0))=INDEX(ИНФА!$L$5:$L$19,MATCH($C35,ИНФА!$I$5:$I$19,0)),FALSE()),IFERROR(INDEX($W$5:$W$204,MATCH($N35,$A$5:$A$204,0))=1,FALSE()),COUNTIF($N$5:$N35,$N35)&lt;=ИНФА!$F$16),1+ИНФА!$F$15,1))</f>
        <v>1</v>
      </c>
      <c r="P35" s="47" t="str">
        <f aca="false">IF($C35="","",IF($J35&lt;&gt;"Услуги","",IF($N35="","нет поставщика — нужен "&amp;INDEX(ИНФА!$L$5:$L$19,MATCH($C35,ИНФА!$I$5:$I$19,0)),IF($O35&gt;1,"✓ поставка работает (+50%)",IF(IFERROR(INDEX($C$5:$C$204,MATCH($N35,$A$5:$A$204,0))&lt;&gt;INDEX(ИНФА!$L$5:$L$19,MATCH($C35,ИНФА!$I$5:$I$19,0)),TRUE()),"не тот поставщик: нужен "&amp;INDEX(ИНФА!$L$5:$L$19,MATCH($C35,ИНФА!$I$5:$I$19,0)),IF(COUNTIF($N$5:$N35,$N35)&gt;ИНФА!$F$16,"поставщик перегружен","поставщик ещё не работает или продан"))))))</f>
        <v/>
      </c>
      <c r="Q35" s="44"/>
      <c r="R35" s="48" t="str">
        <f aca="false">IF($C35="","",IF($Q35="",1,IFERROR(INDEX(НАУКА!$K$5:$K$44,MATCH($Q35,НАУКА!$A$5:$A$44,0)),1)))</f>
        <v/>
      </c>
      <c r="S35" s="37" t="str">
        <f aca="false">IF($Q35="","",IFERROR(INDEX(НАУКА!$G$5:$G$44,MATCH($Q35,НАУКА!$A$5:$A$44,0)),""))</f>
        <v/>
      </c>
      <c r="T35" s="44"/>
      <c r="U35" s="44"/>
      <c r="V35" s="43"/>
      <c r="W35" s="37" t="n">
        <f aca="false">IF(OR($C35="",$D35=""),0,IF(AND($D35&lt;ИНФА!$F$5,OR($T35="",$T35&gt;=ИНФА!$F$5)),1,0))</f>
        <v>0</v>
      </c>
      <c r="X35" s="46" t="str">
        <f aca="false">IF($C35="","",INDEX(СОБЫТИЯ!$B$5:$K$8,MATCH($K35,СОБЫТИЯ!$A$5:$A$8,0),ИНФА!$F$5))</f>
        <v/>
      </c>
      <c r="Y35" s="42" t="str">
        <f aca="false">IF($C35="","",IF($W35=1,ROUND($L35*$O35*IF(AND($Q35&lt;&gt;"",$S35&lt;&gt;""),IF($S35&lt;ИНФА!$F$5,$R35,1),1)*$X35,0)-$M35+N($AF35)+N($AG35),0))</f>
        <v/>
      </c>
      <c r="Z35" s="38" t="str">
        <f aca="false">IF($C35="","",IF($T35="",INDEX(ИНФА!$M$5:$M$19,MATCH($C35,ИНФА!$I$5:$I$19,0)),0))</f>
        <v/>
      </c>
      <c r="AA35" s="38" t="str">
        <f aca="false">IF(OR($C35="",$T35=""),"",IF($V35&lt;&gt;"",$V35,INDEX(ИНФА!$N$5:$N$19,MATCH($C35,ИНФА!$I$5:$I$19,0))))</f>
        <v/>
      </c>
      <c r="AB35" s="37" t="str">
        <f aca="false">IF($C35="","",IF($T35&lt;&gt;"",IF($U35&lt;&gt;"","продано компании "&amp;$U35&amp;" в цикле "&amp;$T35,"продано Инфраструктуре в цикле "&amp;$T35),IF($D35&gt;=ИНФА!$F$5,"доход со следующего цикла","приносит доход")))</f>
        <v/>
      </c>
      <c r="AC35" s="47" t="str">
        <f aca="false">IF($C35="","",IF($F35="","",IF($E35="","укажите продавца; ",IF(OR($F35&lt;INDEX(ИНФА!$N$5:$N$19,MATCH($C35,ИНФА!$I$5:$I$19,0)),$F35&gt;INDEX(ИНФА!$M$5:$M$19,MATCH($C35,ИНФА!$I$5:$I$19,0))),"цена покупки вне коридора! ","")))&amp;IF($U35="","",IF(OR($V35="",$T35=""),"укажите цикл и цену продажи; ",IF(OR($V35&lt;INDEX(ИНФА!$N$5:$N$19,MATCH($C35,ИНФА!$I$5:$I$19,0)),$V35&gt;INDEX(ИНФА!$M$5:$M$19,MATCH($C35,ИНФА!$I$5:$I$19,0))),"цена продажи вне коридора! ","")))&amp;IF(AND($T35="",COUNTIFS($C$5:$C35,$C35,$T$5:$T35,"")&gt;INDEX(ИНФА!$Q$5:$Q$19,MATCH($C35,ИНФА!$I$5:$I$19,0))),"лотов нет! ","")&amp;IF(AND($E35&lt;&gt;"",$F35=""),"укажите цену сделки; ","")&amp;IF(AND(N($H35)&gt;0,OR($AD35="",$AD35="Профессия"),OR($H35&gt;ИНФА!$F$29,$I35&lt;INDEX(ИНФА!$N$5:$N$19,MATCH($C35,ИНФА!$I$5:$I$19,0))+ИНФА!$F$30)),"скидка больше лимита или цена ниже выкупа + 500! ","")&amp;IF($AE35="","",IF(IFERROR(INDEX($B$5:$B$204,MATCH($AE35,$A$5:$A$204,0))=$B35,TRUE()),"бизнес-пара — только со зданием другой компании; ",""))&amp;IF($Q35="","",IF(IFERROR(INDEX(НАУКА!$B$5:$B$44,MATCH($Q35,НАУКА!$A$5:$A$44,0))&lt;&gt;$B35,FALSE()),"патент другой компании — нужна лицензия или соглашение; ","")))</f>
        <v/>
      </c>
      <c r="AD35" s="44"/>
      <c r="AE35" s="44"/>
      <c r="AF35" s="38" t="str">
        <f aca="false">IF($C35="","",IF(AND($W35=1,OR($C35="Дом",$C35="Кафе")),ИНФА!$F$17*(COUNTIFS($B$5:$B35,$B35,$C$5:$C35,$C35,$W$5:$W35,1)&lt;=COUNTIFS($B$5:$B$204,$B35,$C$5:$C$204,"Парк",$W$5:$W$204,1)),0))</f>
        <v/>
      </c>
      <c r="AG35" s="38" t="str">
        <f aca="false">IF($C35="","",IF($W35=1,IF(OR(AND($AE35&lt;&gt;"",IFERROR(INDEX($W$5:$W$204,MATCH($AE35,$A$5:$A$204,0))=1,FALSE()),IFERROR(INDEX($B$5:$B$204,MATCH($AE35,$A$5:$A$204,0))&lt;&gt;$B35,FALSE())),COUNTIFS($AE$5:$AE$204,$A35,$W$5:$W$204,1,$B$5:$B$204,"&lt;&gt;"&amp;$B35)&gt;0),ИНФА!$F$31,0),0))</f>
        <v/>
      </c>
    </row>
    <row r="36" customFormat="false" ht="15" hidden="false" customHeight="false" outlineLevel="0" collapsed="false">
      <c r="A36" s="15" t="n">
        <v>32</v>
      </c>
      <c r="B36" s="44"/>
      <c r="C36" s="44"/>
      <c r="D36" s="44"/>
      <c r="E36" s="44"/>
      <c r="F36" s="43"/>
      <c r="G36" s="38" t="str">
        <f aca="false">IF($C36="","",IF($F36&lt;&gt;"",$F36,INDEX(ИНФА!$M$5:$M$19,MATCH($C36,ИНФА!$I$5:$I$19,0))))</f>
        <v/>
      </c>
      <c r="H36" s="43"/>
      <c r="I36" s="38" t="str">
        <f aca="false">IF($C36="","",G36-N(H36))</f>
        <v/>
      </c>
      <c r="J36" s="37" t="str">
        <f aca="false">IF($C36="","",INDEX(ИНФА!$J$5:$J$19,MATCH($C36,ИНФА!$I$5:$I$19,0)))</f>
        <v/>
      </c>
      <c r="K36" s="37" t="str">
        <f aca="false">IF($C36="","",INDEX(ИНФА!$K$5:$K$19,MATCH($C36,ИНФА!$I$5:$I$19,0)))</f>
        <v/>
      </c>
      <c r="L36" s="38" t="str">
        <f aca="false">IF($C36="","",INDEX(ИНФА!$O$5:$O$19,MATCH($C36,ИНФА!$I$5:$I$19,0)))</f>
        <v/>
      </c>
      <c r="M36" s="38" t="str">
        <f aca="false">IF($C36="","",INDEX(ИНФА!$P$5:$P$19,MATCH($C36,ИНФА!$I$5:$I$19,0)))</f>
        <v/>
      </c>
      <c r="N36" s="44"/>
      <c r="O36" s="48" t="n">
        <f aca="false">IF(OR($C36="",$N36=""),1,IF(AND($J36="Услуги",IFERROR(INDEX($C$5:$C$204,MATCH($N36,$A$5:$A$204,0))=INDEX(ИНФА!$L$5:$L$19,MATCH($C36,ИНФА!$I$5:$I$19,0)),FALSE()),IFERROR(INDEX($W$5:$W$204,MATCH($N36,$A$5:$A$204,0))=1,FALSE()),COUNTIF($N$5:$N36,$N36)&lt;=ИНФА!$F$16),1+ИНФА!$F$15,1))</f>
        <v>1</v>
      </c>
      <c r="P36" s="47" t="str">
        <f aca="false">IF($C36="","",IF($J36&lt;&gt;"Услуги","",IF($N36="","нет поставщика — нужен "&amp;INDEX(ИНФА!$L$5:$L$19,MATCH($C36,ИНФА!$I$5:$I$19,0)),IF($O36&gt;1,"✓ поставка работает (+50%)",IF(IFERROR(INDEX($C$5:$C$204,MATCH($N36,$A$5:$A$204,0))&lt;&gt;INDEX(ИНФА!$L$5:$L$19,MATCH($C36,ИНФА!$I$5:$I$19,0)),TRUE()),"не тот поставщик: нужен "&amp;INDEX(ИНФА!$L$5:$L$19,MATCH($C36,ИНФА!$I$5:$I$19,0)),IF(COUNTIF($N$5:$N36,$N36)&gt;ИНФА!$F$16,"поставщик перегружен","поставщик ещё не работает или продан"))))))</f>
        <v/>
      </c>
      <c r="Q36" s="44"/>
      <c r="R36" s="48" t="str">
        <f aca="false">IF($C36="","",IF($Q36="",1,IFERROR(INDEX(НАУКА!$K$5:$K$44,MATCH($Q36,НАУКА!$A$5:$A$44,0)),1)))</f>
        <v/>
      </c>
      <c r="S36" s="37" t="str">
        <f aca="false">IF($Q36="","",IFERROR(INDEX(НАУКА!$G$5:$G$44,MATCH($Q36,НАУКА!$A$5:$A$44,0)),""))</f>
        <v/>
      </c>
      <c r="T36" s="44"/>
      <c r="U36" s="44"/>
      <c r="V36" s="43"/>
      <c r="W36" s="37" t="n">
        <f aca="false">IF(OR($C36="",$D36=""),0,IF(AND($D36&lt;ИНФА!$F$5,OR($T36="",$T36&gt;=ИНФА!$F$5)),1,0))</f>
        <v>0</v>
      </c>
      <c r="X36" s="46" t="str">
        <f aca="false">IF($C36="","",INDEX(СОБЫТИЯ!$B$5:$K$8,MATCH($K36,СОБЫТИЯ!$A$5:$A$8,0),ИНФА!$F$5))</f>
        <v/>
      </c>
      <c r="Y36" s="42" t="str">
        <f aca="false">IF($C36="","",IF($W36=1,ROUND($L36*$O36*IF(AND($Q36&lt;&gt;"",$S36&lt;&gt;""),IF($S36&lt;ИНФА!$F$5,$R36,1),1)*$X36,0)-$M36+N($AF36)+N($AG36),0))</f>
        <v/>
      </c>
      <c r="Z36" s="38" t="str">
        <f aca="false">IF($C36="","",IF($T36="",INDEX(ИНФА!$M$5:$M$19,MATCH($C36,ИНФА!$I$5:$I$19,0)),0))</f>
        <v/>
      </c>
      <c r="AA36" s="38" t="str">
        <f aca="false">IF(OR($C36="",$T36=""),"",IF($V36&lt;&gt;"",$V36,INDEX(ИНФА!$N$5:$N$19,MATCH($C36,ИНФА!$I$5:$I$19,0))))</f>
        <v/>
      </c>
      <c r="AB36" s="37" t="str">
        <f aca="false">IF($C36="","",IF($T36&lt;&gt;"",IF($U36&lt;&gt;"","продано компании "&amp;$U36&amp;" в цикле "&amp;$T36,"продано Инфраструктуре в цикле "&amp;$T36),IF($D36&gt;=ИНФА!$F$5,"доход со следующего цикла","приносит доход")))</f>
        <v/>
      </c>
      <c r="AC36" s="47" t="str">
        <f aca="false">IF($C36="","",IF($F36="","",IF($E36="","укажите продавца; ",IF(OR($F36&lt;INDEX(ИНФА!$N$5:$N$19,MATCH($C36,ИНФА!$I$5:$I$19,0)),$F36&gt;INDEX(ИНФА!$M$5:$M$19,MATCH($C36,ИНФА!$I$5:$I$19,0))),"цена покупки вне коридора! ","")))&amp;IF($U36="","",IF(OR($V36="",$T36=""),"укажите цикл и цену продажи; ",IF(OR($V36&lt;INDEX(ИНФА!$N$5:$N$19,MATCH($C36,ИНФА!$I$5:$I$19,0)),$V36&gt;INDEX(ИНФА!$M$5:$M$19,MATCH($C36,ИНФА!$I$5:$I$19,0))),"цена продажи вне коридора! ","")))&amp;IF(AND($T36="",COUNTIFS($C$5:$C36,$C36,$T$5:$T36,"")&gt;INDEX(ИНФА!$Q$5:$Q$19,MATCH($C36,ИНФА!$I$5:$I$19,0))),"лотов нет! ","")&amp;IF(AND($E36&lt;&gt;"",$F36=""),"укажите цену сделки; ","")&amp;IF(AND(N($H36)&gt;0,OR($AD36="",$AD36="Профессия"),OR($H36&gt;ИНФА!$F$29,$I36&lt;INDEX(ИНФА!$N$5:$N$19,MATCH($C36,ИНФА!$I$5:$I$19,0))+ИНФА!$F$30)),"скидка больше лимита или цена ниже выкупа + 500! ","")&amp;IF($AE36="","",IF(IFERROR(INDEX($B$5:$B$204,MATCH($AE36,$A$5:$A$204,0))=$B36,TRUE()),"бизнес-пара — только со зданием другой компании; ",""))&amp;IF($Q36="","",IF(IFERROR(INDEX(НАУКА!$B$5:$B$44,MATCH($Q36,НАУКА!$A$5:$A$44,0))&lt;&gt;$B36,FALSE()),"патент другой компании — нужна лицензия или соглашение; ","")))</f>
        <v/>
      </c>
      <c r="AD36" s="44"/>
      <c r="AE36" s="44"/>
      <c r="AF36" s="38" t="str">
        <f aca="false">IF($C36="","",IF(AND($W36=1,OR($C36="Дом",$C36="Кафе")),ИНФА!$F$17*(COUNTIFS($B$5:$B36,$B36,$C$5:$C36,$C36,$W$5:$W36,1)&lt;=COUNTIFS($B$5:$B$204,$B36,$C$5:$C$204,"Парк",$W$5:$W$204,1)),0))</f>
        <v/>
      </c>
      <c r="AG36" s="38" t="str">
        <f aca="false">IF($C36="","",IF($W36=1,IF(OR(AND($AE36&lt;&gt;"",IFERROR(INDEX($W$5:$W$204,MATCH($AE36,$A$5:$A$204,0))=1,FALSE()),IFERROR(INDEX($B$5:$B$204,MATCH($AE36,$A$5:$A$204,0))&lt;&gt;$B36,FALSE())),COUNTIFS($AE$5:$AE$204,$A36,$W$5:$W$204,1,$B$5:$B$204,"&lt;&gt;"&amp;$B36)&gt;0),ИНФА!$F$31,0),0))</f>
        <v/>
      </c>
    </row>
    <row r="37" customFormat="false" ht="15" hidden="false" customHeight="false" outlineLevel="0" collapsed="false">
      <c r="A37" s="15" t="n">
        <v>33</v>
      </c>
      <c r="B37" s="44"/>
      <c r="C37" s="44"/>
      <c r="D37" s="44"/>
      <c r="E37" s="44"/>
      <c r="F37" s="43"/>
      <c r="G37" s="38" t="str">
        <f aca="false">IF($C37="","",IF($F37&lt;&gt;"",$F37,INDEX(ИНФА!$M$5:$M$19,MATCH($C37,ИНФА!$I$5:$I$19,0))))</f>
        <v/>
      </c>
      <c r="H37" s="43"/>
      <c r="I37" s="38" t="str">
        <f aca="false">IF($C37="","",G37-N(H37))</f>
        <v/>
      </c>
      <c r="J37" s="37" t="str">
        <f aca="false">IF($C37="","",INDEX(ИНФА!$J$5:$J$19,MATCH($C37,ИНФА!$I$5:$I$19,0)))</f>
        <v/>
      </c>
      <c r="K37" s="37" t="str">
        <f aca="false">IF($C37="","",INDEX(ИНФА!$K$5:$K$19,MATCH($C37,ИНФА!$I$5:$I$19,0)))</f>
        <v/>
      </c>
      <c r="L37" s="38" t="str">
        <f aca="false">IF($C37="","",INDEX(ИНФА!$O$5:$O$19,MATCH($C37,ИНФА!$I$5:$I$19,0)))</f>
        <v/>
      </c>
      <c r="M37" s="38" t="str">
        <f aca="false">IF($C37="","",INDEX(ИНФА!$P$5:$P$19,MATCH($C37,ИНФА!$I$5:$I$19,0)))</f>
        <v/>
      </c>
      <c r="N37" s="44"/>
      <c r="O37" s="48" t="n">
        <f aca="false">IF(OR($C37="",$N37=""),1,IF(AND($J37="Услуги",IFERROR(INDEX($C$5:$C$204,MATCH($N37,$A$5:$A$204,0))=INDEX(ИНФА!$L$5:$L$19,MATCH($C37,ИНФА!$I$5:$I$19,0)),FALSE()),IFERROR(INDEX($W$5:$W$204,MATCH($N37,$A$5:$A$204,0))=1,FALSE()),COUNTIF($N$5:$N37,$N37)&lt;=ИНФА!$F$16),1+ИНФА!$F$15,1))</f>
        <v>1</v>
      </c>
      <c r="P37" s="47" t="str">
        <f aca="false">IF($C37="","",IF($J37&lt;&gt;"Услуги","",IF($N37="","нет поставщика — нужен "&amp;INDEX(ИНФА!$L$5:$L$19,MATCH($C37,ИНФА!$I$5:$I$19,0)),IF($O37&gt;1,"✓ поставка работает (+50%)",IF(IFERROR(INDEX($C$5:$C$204,MATCH($N37,$A$5:$A$204,0))&lt;&gt;INDEX(ИНФА!$L$5:$L$19,MATCH($C37,ИНФА!$I$5:$I$19,0)),TRUE()),"не тот поставщик: нужен "&amp;INDEX(ИНФА!$L$5:$L$19,MATCH($C37,ИНФА!$I$5:$I$19,0)),IF(COUNTIF($N$5:$N37,$N37)&gt;ИНФА!$F$16,"поставщик перегружен","поставщик ещё не работает или продан"))))))</f>
        <v/>
      </c>
      <c r="Q37" s="44"/>
      <c r="R37" s="48" t="str">
        <f aca="false">IF($C37="","",IF($Q37="",1,IFERROR(INDEX(НАУКА!$K$5:$K$44,MATCH($Q37,НАУКА!$A$5:$A$44,0)),1)))</f>
        <v/>
      </c>
      <c r="S37" s="37" t="str">
        <f aca="false">IF($Q37="","",IFERROR(INDEX(НАУКА!$G$5:$G$44,MATCH($Q37,НАУКА!$A$5:$A$44,0)),""))</f>
        <v/>
      </c>
      <c r="T37" s="44"/>
      <c r="U37" s="44"/>
      <c r="V37" s="43"/>
      <c r="W37" s="37" t="n">
        <f aca="false">IF(OR($C37="",$D37=""),0,IF(AND($D37&lt;ИНФА!$F$5,OR($T37="",$T37&gt;=ИНФА!$F$5)),1,0))</f>
        <v>0</v>
      </c>
      <c r="X37" s="46" t="str">
        <f aca="false">IF($C37="","",INDEX(СОБЫТИЯ!$B$5:$K$8,MATCH($K37,СОБЫТИЯ!$A$5:$A$8,0),ИНФА!$F$5))</f>
        <v/>
      </c>
      <c r="Y37" s="42" t="str">
        <f aca="false">IF($C37="","",IF($W37=1,ROUND($L37*$O37*IF(AND($Q37&lt;&gt;"",$S37&lt;&gt;""),IF($S37&lt;ИНФА!$F$5,$R37,1),1)*$X37,0)-$M37+N($AF37)+N($AG37),0))</f>
        <v/>
      </c>
      <c r="Z37" s="38" t="str">
        <f aca="false">IF($C37="","",IF($T37="",INDEX(ИНФА!$M$5:$M$19,MATCH($C37,ИНФА!$I$5:$I$19,0)),0))</f>
        <v/>
      </c>
      <c r="AA37" s="38" t="str">
        <f aca="false">IF(OR($C37="",$T37=""),"",IF($V37&lt;&gt;"",$V37,INDEX(ИНФА!$N$5:$N$19,MATCH($C37,ИНФА!$I$5:$I$19,0))))</f>
        <v/>
      </c>
      <c r="AB37" s="37" t="str">
        <f aca="false">IF($C37="","",IF($T37&lt;&gt;"",IF($U37&lt;&gt;"","продано компании "&amp;$U37&amp;" в цикле "&amp;$T37,"продано Инфраструктуре в цикле "&amp;$T37),IF($D37&gt;=ИНФА!$F$5,"доход со следующего цикла","приносит доход")))</f>
        <v/>
      </c>
      <c r="AC37" s="47" t="str">
        <f aca="false">IF($C37="","",IF($F37="","",IF($E37="","укажите продавца; ",IF(OR($F37&lt;INDEX(ИНФА!$N$5:$N$19,MATCH($C37,ИНФА!$I$5:$I$19,0)),$F37&gt;INDEX(ИНФА!$M$5:$M$19,MATCH($C37,ИНФА!$I$5:$I$19,0))),"цена покупки вне коридора! ","")))&amp;IF($U37="","",IF(OR($V37="",$T37=""),"укажите цикл и цену продажи; ",IF(OR($V37&lt;INDEX(ИНФА!$N$5:$N$19,MATCH($C37,ИНФА!$I$5:$I$19,0)),$V37&gt;INDEX(ИНФА!$M$5:$M$19,MATCH($C37,ИНФА!$I$5:$I$19,0))),"цена продажи вне коридора! ","")))&amp;IF(AND($T37="",COUNTIFS($C$5:$C37,$C37,$T$5:$T37,"")&gt;INDEX(ИНФА!$Q$5:$Q$19,MATCH($C37,ИНФА!$I$5:$I$19,0))),"лотов нет! ","")&amp;IF(AND($E37&lt;&gt;"",$F37=""),"укажите цену сделки; ","")&amp;IF(AND(N($H37)&gt;0,OR($AD37="",$AD37="Профессия"),OR($H37&gt;ИНФА!$F$29,$I37&lt;INDEX(ИНФА!$N$5:$N$19,MATCH($C37,ИНФА!$I$5:$I$19,0))+ИНФА!$F$30)),"скидка больше лимита или цена ниже выкупа + 500! ","")&amp;IF($AE37="","",IF(IFERROR(INDEX($B$5:$B$204,MATCH($AE37,$A$5:$A$204,0))=$B37,TRUE()),"бизнес-пара — только со зданием другой компании; ",""))&amp;IF($Q37="","",IF(IFERROR(INDEX(НАУКА!$B$5:$B$44,MATCH($Q37,НАУКА!$A$5:$A$44,0))&lt;&gt;$B37,FALSE()),"патент другой компании — нужна лицензия или соглашение; ","")))</f>
        <v/>
      </c>
      <c r="AD37" s="44"/>
      <c r="AE37" s="44"/>
      <c r="AF37" s="38" t="str">
        <f aca="false">IF($C37="","",IF(AND($W37=1,OR($C37="Дом",$C37="Кафе")),ИНФА!$F$17*(COUNTIFS($B$5:$B37,$B37,$C$5:$C37,$C37,$W$5:$W37,1)&lt;=COUNTIFS($B$5:$B$204,$B37,$C$5:$C$204,"Парк",$W$5:$W$204,1)),0))</f>
        <v/>
      </c>
      <c r="AG37" s="38" t="str">
        <f aca="false">IF($C37="","",IF($W37=1,IF(OR(AND($AE37&lt;&gt;"",IFERROR(INDEX($W$5:$W$204,MATCH($AE37,$A$5:$A$204,0))=1,FALSE()),IFERROR(INDEX($B$5:$B$204,MATCH($AE37,$A$5:$A$204,0))&lt;&gt;$B37,FALSE())),COUNTIFS($AE$5:$AE$204,$A37,$W$5:$W$204,1,$B$5:$B$204,"&lt;&gt;"&amp;$B37)&gt;0),ИНФА!$F$31,0),0))</f>
        <v/>
      </c>
    </row>
    <row r="38" customFormat="false" ht="15" hidden="false" customHeight="false" outlineLevel="0" collapsed="false">
      <c r="A38" s="15" t="n">
        <v>34</v>
      </c>
      <c r="B38" s="44"/>
      <c r="C38" s="44"/>
      <c r="D38" s="44"/>
      <c r="E38" s="44"/>
      <c r="F38" s="43"/>
      <c r="G38" s="38" t="str">
        <f aca="false">IF($C38="","",IF($F38&lt;&gt;"",$F38,INDEX(ИНФА!$M$5:$M$19,MATCH($C38,ИНФА!$I$5:$I$19,0))))</f>
        <v/>
      </c>
      <c r="H38" s="43"/>
      <c r="I38" s="38" t="str">
        <f aca="false">IF($C38="","",G38-N(H38))</f>
        <v/>
      </c>
      <c r="J38" s="37" t="str">
        <f aca="false">IF($C38="","",INDEX(ИНФА!$J$5:$J$19,MATCH($C38,ИНФА!$I$5:$I$19,0)))</f>
        <v/>
      </c>
      <c r="K38" s="37" t="str">
        <f aca="false">IF($C38="","",INDEX(ИНФА!$K$5:$K$19,MATCH($C38,ИНФА!$I$5:$I$19,0)))</f>
        <v/>
      </c>
      <c r="L38" s="38" t="str">
        <f aca="false">IF($C38="","",INDEX(ИНФА!$O$5:$O$19,MATCH($C38,ИНФА!$I$5:$I$19,0)))</f>
        <v/>
      </c>
      <c r="M38" s="38" t="str">
        <f aca="false">IF($C38="","",INDEX(ИНФА!$P$5:$P$19,MATCH($C38,ИНФА!$I$5:$I$19,0)))</f>
        <v/>
      </c>
      <c r="N38" s="44"/>
      <c r="O38" s="48" t="n">
        <f aca="false">IF(OR($C38="",$N38=""),1,IF(AND($J38="Услуги",IFERROR(INDEX($C$5:$C$204,MATCH($N38,$A$5:$A$204,0))=INDEX(ИНФА!$L$5:$L$19,MATCH($C38,ИНФА!$I$5:$I$19,0)),FALSE()),IFERROR(INDEX($W$5:$W$204,MATCH($N38,$A$5:$A$204,0))=1,FALSE()),COUNTIF($N$5:$N38,$N38)&lt;=ИНФА!$F$16),1+ИНФА!$F$15,1))</f>
        <v>1</v>
      </c>
      <c r="P38" s="47" t="str">
        <f aca="false">IF($C38="","",IF($J38&lt;&gt;"Услуги","",IF($N38="","нет поставщика — нужен "&amp;INDEX(ИНФА!$L$5:$L$19,MATCH($C38,ИНФА!$I$5:$I$19,0)),IF($O38&gt;1,"✓ поставка работает (+50%)",IF(IFERROR(INDEX($C$5:$C$204,MATCH($N38,$A$5:$A$204,0))&lt;&gt;INDEX(ИНФА!$L$5:$L$19,MATCH($C38,ИНФА!$I$5:$I$19,0)),TRUE()),"не тот поставщик: нужен "&amp;INDEX(ИНФА!$L$5:$L$19,MATCH($C38,ИНФА!$I$5:$I$19,0)),IF(COUNTIF($N$5:$N38,$N38)&gt;ИНФА!$F$16,"поставщик перегружен","поставщик ещё не работает или продан"))))))</f>
        <v/>
      </c>
      <c r="Q38" s="44"/>
      <c r="R38" s="48" t="str">
        <f aca="false">IF($C38="","",IF($Q38="",1,IFERROR(INDEX(НАУКА!$K$5:$K$44,MATCH($Q38,НАУКА!$A$5:$A$44,0)),1)))</f>
        <v/>
      </c>
      <c r="S38" s="37" t="str">
        <f aca="false">IF($Q38="","",IFERROR(INDEX(НАУКА!$G$5:$G$44,MATCH($Q38,НАУКА!$A$5:$A$44,0)),""))</f>
        <v/>
      </c>
      <c r="T38" s="44"/>
      <c r="U38" s="44"/>
      <c r="V38" s="43"/>
      <c r="W38" s="37" t="n">
        <f aca="false">IF(OR($C38="",$D38=""),0,IF(AND($D38&lt;ИНФА!$F$5,OR($T38="",$T38&gt;=ИНФА!$F$5)),1,0))</f>
        <v>0</v>
      </c>
      <c r="X38" s="46" t="str">
        <f aca="false">IF($C38="","",INDEX(СОБЫТИЯ!$B$5:$K$8,MATCH($K38,СОБЫТИЯ!$A$5:$A$8,0),ИНФА!$F$5))</f>
        <v/>
      </c>
      <c r="Y38" s="42" t="str">
        <f aca="false">IF($C38="","",IF($W38=1,ROUND($L38*$O38*IF(AND($Q38&lt;&gt;"",$S38&lt;&gt;""),IF($S38&lt;ИНФА!$F$5,$R38,1),1)*$X38,0)-$M38+N($AF38)+N($AG38),0))</f>
        <v/>
      </c>
      <c r="Z38" s="38" t="str">
        <f aca="false">IF($C38="","",IF($T38="",INDEX(ИНФА!$M$5:$M$19,MATCH($C38,ИНФА!$I$5:$I$19,0)),0))</f>
        <v/>
      </c>
      <c r="AA38" s="38" t="str">
        <f aca="false">IF(OR($C38="",$T38=""),"",IF($V38&lt;&gt;"",$V38,INDEX(ИНФА!$N$5:$N$19,MATCH($C38,ИНФА!$I$5:$I$19,0))))</f>
        <v/>
      </c>
      <c r="AB38" s="37" t="str">
        <f aca="false">IF($C38="","",IF($T38&lt;&gt;"",IF($U38&lt;&gt;"","продано компании "&amp;$U38&amp;" в цикле "&amp;$T38,"продано Инфраструктуре в цикле "&amp;$T38),IF($D38&gt;=ИНФА!$F$5,"доход со следующего цикла","приносит доход")))</f>
        <v/>
      </c>
      <c r="AC38" s="47" t="str">
        <f aca="false">IF($C38="","",IF($F38="","",IF($E38="","укажите продавца; ",IF(OR($F38&lt;INDEX(ИНФА!$N$5:$N$19,MATCH($C38,ИНФА!$I$5:$I$19,0)),$F38&gt;INDEX(ИНФА!$M$5:$M$19,MATCH($C38,ИНФА!$I$5:$I$19,0))),"цена покупки вне коридора! ","")))&amp;IF($U38="","",IF(OR($V38="",$T38=""),"укажите цикл и цену продажи; ",IF(OR($V38&lt;INDEX(ИНФА!$N$5:$N$19,MATCH($C38,ИНФА!$I$5:$I$19,0)),$V38&gt;INDEX(ИНФА!$M$5:$M$19,MATCH($C38,ИНФА!$I$5:$I$19,0))),"цена продажи вне коридора! ","")))&amp;IF(AND($T38="",COUNTIFS($C$5:$C38,$C38,$T$5:$T38,"")&gt;INDEX(ИНФА!$Q$5:$Q$19,MATCH($C38,ИНФА!$I$5:$I$19,0))),"лотов нет! ","")&amp;IF(AND($E38&lt;&gt;"",$F38=""),"укажите цену сделки; ","")&amp;IF(AND(N($H38)&gt;0,OR($AD38="",$AD38="Профессия"),OR($H38&gt;ИНФА!$F$29,$I38&lt;INDEX(ИНФА!$N$5:$N$19,MATCH($C38,ИНФА!$I$5:$I$19,0))+ИНФА!$F$30)),"скидка больше лимита или цена ниже выкупа + 500! ","")&amp;IF($AE38="","",IF(IFERROR(INDEX($B$5:$B$204,MATCH($AE38,$A$5:$A$204,0))=$B38,TRUE()),"бизнес-пара — только со зданием другой компании; ",""))&amp;IF($Q38="","",IF(IFERROR(INDEX(НАУКА!$B$5:$B$44,MATCH($Q38,НАУКА!$A$5:$A$44,0))&lt;&gt;$B38,FALSE()),"патент другой компании — нужна лицензия или соглашение; ","")))</f>
        <v/>
      </c>
      <c r="AD38" s="44"/>
      <c r="AE38" s="44"/>
      <c r="AF38" s="38" t="str">
        <f aca="false">IF($C38="","",IF(AND($W38=1,OR($C38="Дом",$C38="Кафе")),ИНФА!$F$17*(COUNTIFS($B$5:$B38,$B38,$C$5:$C38,$C38,$W$5:$W38,1)&lt;=COUNTIFS($B$5:$B$204,$B38,$C$5:$C$204,"Парк",$W$5:$W$204,1)),0))</f>
        <v/>
      </c>
      <c r="AG38" s="38" t="str">
        <f aca="false">IF($C38="","",IF($W38=1,IF(OR(AND($AE38&lt;&gt;"",IFERROR(INDEX($W$5:$W$204,MATCH($AE38,$A$5:$A$204,0))=1,FALSE()),IFERROR(INDEX($B$5:$B$204,MATCH($AE38,$A$5:$A$204,0))&lt;&gt;$B38,FALSE())),COUNTIFS($AE$5:$AE$204,$A38,$W$5:$W$204,1,$B$5:$B$204,"&lt;&gt;"&amp;$B38)&gt;0),ИНФА!$F$31,0),0))</f>
        <v/>
      </c>
    </row>
    <row r="39" customFormat="false" ht="15" hidden="false" customHeight="false" outlineLevel="0" collapsed="false">
      <c r="A39" s="15" t="n">
        <v>35</v>
      </c>
      <c r="B39" s="44"/>
      <c r="C39" s="44"/>
      <c r="D39" s="44"/>
      <c r="E39" s="44"/>
      <c r="F39" s="43"/>
      <c r="G39" s="38" t="str">
        <f aca="false">IF($C39="","",IF($F39&lt;&gt;"",$F39,INDEX(ИНФА!$M$5:$M$19,MATCH($C39,ИНФА!$I$5:$I$19,0))))</f>
        <v/>
      </c>
      <c r="H39" s="43"/>
      <c r="I39" s="38" t="str">
        <f aca="false">IF($C39="","",G39-N(H39))</f>
        <v/>
      </c>
      <c r="J39" s="37" t="str">
        <f aca="false">IF($C39="","",INDEX(ИНФА!$J$5:$J$19,MATCH($C39,ИНФА!$I$5:$I$19,0)))</f>
        <v/>
      </c>
      <c r="K39" s="37" t="str">
        <f aca="false">IF($C39="","",INDEX(ИНФА!$K$5:$K$19,MATCH($C39,ИНФА!$I$5:$I$19,0)))</f>
        <v/>
      </c>
      <c r="L39" s="38" t="str">
        <f aca="false">IF($C39="","",INDEX(ИНФА!$O$5:$O$19,MATCH($C39,ИНФА!$I$5:$I$19,0)))</f>
        <v/>
      </c>
      <c r="M39" s="38" t="str">
        <f aca="false">IF($C39="","",INDEX(ИНФА!$P$5:$P$19,MATCH($C39,ИНФА!$I$5:$I$19,0)))</f>
        <v/>
      </c>
      <c r="N39" s="44"/>
      <c r="O39" s="48" t="n">
        <f aca="false">IF(OR($C39="",$N39=""),1,IF(AND($J39="Услуги",IFERROR(INDEX($C$5:$C$204,MATCH($N39,$A$5:$A$204,0))=INDEX(ИНФА!$L$5:$L$19,MATCH($C39,ИНФА!$I$5:$I$19,0)),FALSE()),IFERROR(INDEX($W$5:$W$204,MATCH($N39,$A$5:$A$204,0))=1,FALSE()),COUNTIF($N$5:$N39,$N39)&lt;=ИНФА!$F$16),1+ИНФА!$F$15,1))</f>
        <v>1</v>
      </c>
      <c r="P39" s="47" t="str">
        <f aca="false">IF($C39="","",IF($J39&lt;&gt;"Услуги","",IF($N39="","нет поставщика — нужен "&amp;INDEX(ИНФА!$L$5:$L$19,MATCH($C39,ИНФА!$I$5:$I$19,0)),IF($O39&gt;1,"✓ поставка работает (+50%)",IF(IFERROR(INDEX($C$5:$C$204,MATCH($N39,$A$5:$A$204,0))&lt;&gt;INDEX(ИНФА!$L$5:$L$19,MATCH($C39,ИНФА!$I$5:$I$19,0)),TRUE()),"не тот поставщик: нужен "&amp;INDEX(ИНФА!$L$5:$L$19,MATCH($C39,ИНФА!$I$5:$I$19,0)),IF(COUNTIF($N$5:$N39,$N39)&gt;ИНФА!$F$16,"поставщик перегружен","поставщик ещё не работает или продан"))))))</f>
        <v/>
      </c>
      <c r="Q39" s="44"/>
      <c r="R39" s="48" t="str">
        <f aca="false">IF($C39="","",IF($Q39="",1,IFERROR(INDEX(НАУКА!$K$5:$K$44,MATCH($Q39,НАУКА!$A$5:$A$44,0)),1)))</f>
        <v/>
      </c>
      <c r="S39" s="37" t="str">
        <f aca="false">IF($Q39="","",IFERROR(INDEX(НАУКА!$G$5:$G$44,MATCH($Q39,НАУКА!$A$5:$A$44,0)),""))</f>
        <v/>
      </c>
      <c r="T39" s="44"/>
      <c r="U39" s="44"/>
      <c r="V39" s="43"/>
      <c r="W39" s="37" t="n">
        <f aca="false">IF(OR($C39="",$D39=""),0,IF(AND($D39&lt;ИНФА!$F$5,OR($T39="",$T39&gt;=ИНФА!$F$5)),1,0))</f>
        <v>0</v>
      </c>
      <c r="X39" s="46" t="str">
        <f aca="false">IF($C39="","",INDEX(СОБЫТИЯ!$B$5:$K$8,MATCH($K39,СОБЫТИЯ!$A$5:$A$8,0),ИНФА!$F$5))</f>
        <v/>
      </c>
      <c r="Y39" s="42" t="str">
        <f aca="false">IF($C39="","",IF($W39=1,ROUND($L39*$O39*IF(AND($Q39&lt;&gt;"",$S39&lt;&gt;""),IF($S39&lt;ИНФА!$F$5,$R39,1),1)*$X39,0)-$M39+N($AF39)+N($AG39),0))</f>
        <v/>
      </c>
      <c r="Z39" s="38" t="str">
        <f aca="false">IF($C39="","",IF($T39="",INDEX(ИНФА!$M$5:$M$19,MATCH($C39,ИНФА!$I$5:$I$19,0)),0))</f>
        <v/>
      </c>
      <c r="AA39" s="38" t="str">
        <f aca="false">IF(OR($C39="",$T39=""),"",IF($V39&lt;&gt;"",$V39,INDEX(ИНФА!$N$5:$N$19,MATCH($C39,ИНФА!$I$5:$I$19,0))))</f>
        <v/>
      </c>
      <c r="AB39" s="37" t="str">
        <f aca="false">IF($C39="","",IF($T39&lt;&gt;"",IF($U39&lt;&gt;"","продано компании "&amp;$U39&amp;" в цикле "&amp;$T39,"продано Инфраструктуре в цикле "&amp;$T39),IF($D39&gt;=ИНФА!$F$5,"доход со следующего цикла","приносит доход")))</f>
        <v/>
      </c>
      <c r="AC39" s="47" t="str">
        <f aca="false">IF($C39="","",IF($F39="","",IF($E39="","укажите продавца; ",IF(OR($F39&lt;INDEX(ИНФА!$N$5:$N$19,MATCH($C39,ИНФА!$I$5:$I$19,0)),$F39&gt;INDEX(ИНФА!$M$5:$M$19,MATCH($C39,ИНФА!$I$5:$I$19,0))),"цена покупки вне коридора! ","")))&amp;IF($U39="","",IF(OR($V39="",$T39=""),"укажите цикл и цену продажи; ",IF(OR($V39&lt;INDEX(ИНФА!$N$5:$N$19,MATCH($C39,ИНФА!$I$5:$I$19,0)),$V39&gt;INDEX(ИНФА!$M$5:$M$19,MATCH($C39,ИНФА!$I$5:$I$19,0))),"цена продажи вне коридора! ","")))&amp;IF(AND($T39="",COUNTIFS($C$5:$C39,$C39,$T$5:$T39,"")&gt;INDEX(ИНФА!$Q$5:$Q$19,MATCH($C39,ИНФА!$I$5:$I$19,0))),"лотов нет! ","")&amp;IF(AND($E39&lt;&gt;"",$F39=""),"укажите цену сделки; ","")&amp;IF(AND(N($H39)&gt;0,OR($AD39="",$AD39="Профессия"),OR($H39&gt;ИНФА!$F$29,$I39&lt;INDEX(ИНФА!$N$5:$N$19,MATCH($C39,ИНФА!$I$5:$I$19,0))+ИНФА!$F$30)),"скидка больше лимита или цена ниже выкупа + 500! ","")&amp;IF($AE39="","",IF(IFERROR(INDEX($B$5:$B$204,MATCH($AE39,$A$5:$A$204,0))=$B39,TRUE()),"бизнес-пара — только со зданием другой компании; ",""))&amp;IF($Q39="","",IF(IFERROR(INDEX(НАУКА!$B$5:$B$44,MATCH($Q39,НАУКА!$A$5:$A$44,0))&lt;&gt;$B39,FALSE()),"патент другой компании — нужна лицензия или соглашение; ","")))</f>
        <v/>
      </c>
      <c r="AD39" s="44"/>
      <c r="AE39" s="44"/>
      <c r="AF39" s="38" t="str">
        <f aca="false">IF($C39="","",IF(AND($W39=1,OR($C39="Дом",$C39="Кафе")),ИНФА!$F$17*(COUNTIFS($B$5:$B39,$B39,$C$5:$C39,$C39,$W$5:$W39,1)&lt;=COUNTIFS($B$5:$B$204,$B39,$C$5:$C$204,"Парк",$W$5:$W$204,1)),0))</f>
        <v/>
      </c>
      <c r="AG39" s="38" t="str">
        <f aca="false">IF($C39="","",IF($W39=1,IF(OR(AND($AE39&lt;&gt;"",IFERROR(INDEX($W$5:$W$204,MATCH($AE39,$A$5:$A$204,0))=1,FALSE()),IFERROR(INDEX($B$5:$B$204,MATCH($AE39,$A$5:$A$204,0))&lt;&gt;$B39,FALSE())),COUNTIFS($AE$5:$AE$204,$A39,$W$5:$W$204,1,$B$5:$B$204,"&lt;&gt;"&amp;$B39)&gt;0),ИНФА!$F$31,0),0))</f>
        <v/>
      </c>
    </row>
    <row r="40" customFormat="false" ht="15" hidden="false" customHeight="false" outlineLevel="0" collapsed="false">
      <c r="A40" s="15" t="n">
        <v>36</v>
      </c>
      <c r="B40" s="44"/>
      <c r="C40" s="44"/>
      <c r="D40" s="44"/>
      <c r="E40" s="44"/>
      <c r="F40" s="43"/>
      <c r="G40" s="38" t="str">
        <f aca="false">IF($C40="","",IF($F40&lt;&gt;"",$F40,INDEX(ИНФА!$M$5:$M$19,MATCH($C40,ИНФА!$I$5:$I$19,0))))</f>
        <v/>
      </c>
      <c r="H40" s="43"/>
      <c r="I40" s="38" t="str">
        <f aca="false">IF($C40="","",G40-N(H40))</f>
        <v/>
      </c>
      <c r="J40" s="37" t="str">
        <f aca="false">IF($C40="","",INDEX(ИНФА!$J$5:$J$19,MATCH($C40,ИНФА!$I$5:$I$19,0)))</f>
        <v/>
      </c>
      <c r="K40" s="37" t="str">
        <f aca="false">IF($C40="","",INDEX(ИНФА!$K$5:$K$19,MATCH($C40,ИНФА!$I$5:$I$19,0)))</f>
        <v/>
      </c>
      <c r="L40" s="38" t="str">
        <f aca="false">IF($C40="","",INDEX(ИНФА!$O$5:$O$19,MATCH($C40,ИНФА!$I$5:$I$19,0)))</f>
        <v/>
      </c>
      <c r="M40" s="38" t="str">
        <f aca="false">IF($C40="","",INDEX(ИНФА!$P$5:$P$19,MATCH($C40,ИНФА!$I$5:$I$19,0)))</f>
        <v/>
      </c>
      <c r="N40" s="44"/>
      <c r="O40" s="48" t="n">
        <f aca="false">IF(OR($C40="",$N40=""),1,IF(AND($J40="Услуги",IFERROR(INDEX($C$5:$C$204,MATCH($N40,$A$5:$A$204,0))=INDEX(ИНФА!$L$5:$L$19,MATCH($C40,ИНФА!$I$5:$I$19,0)),FALSE()),IFERROR(INDEX($W$5:$W$204,MATCH($N40,$A$5:$A$204,0))=1,FALSE()),COUNTIF($N$5:$N40,$N40)&lt;=ИНФА!$F$16),1+ИНФА!$F$15,1))</f>
        <v>1</v>
      </c>
      <c r="P40" s="47" t="str">
        <f aca="false">IF($C40="","",IF($J40&lt;&gt;"Услуги","",IF($N40="","нет поставщика — нужен "&amp;INDEX(ИНФА!$L$5:$L$19,MATCH($C40,ИНФА!$I$5:$I$19,0)),IF($O40&gt;1,"✓ поставка работает (+50%)",IF(IFERROR(INDEX($C$5:$C$204,MATCH($N40,$A$5:$A$204,0))&lt;&gt;INDEX(ИНФА!$L$5:$L$19,MATCH($C40,ИНФА!$I$5:$I$19,0)),TRUE()),"не тот поставщик: нужен "&amp;INDEX(ИНФА!$L$5:$L$19,MATCH($C40,ИНФА!$I$5:$I$19,0)),IF(COUNTIF($N$5:$N40,$N40)&gt;ИНФА!$F$16,"поставщик перегружен","поставщик ещё не работает или продан"))))))</f>
        <v/>
      </c>
      <c r="Q40" s="44"/>
      <c r="R40" s="48" t="str">
        <f aca="false">IF($C40="","",IF($Q40="",1,IFERROR(INDEX(НАУКА!$K$5:$K$44,MATCH($Q40,НАУКА!$A$5:$A$44,0)),1)))</f>
        <v/>
      </c>
      <c r="S40" s="37" t="str">
        <f aca="false">IF($Q40="","",IFERROR(INDEX(НАУКА!$G$5:$G$44,MATCH($Q40,НАУКА!$A$5:$A$44,0)),""))</f>
        <v/>
      </c>
      <c r="T40" s="44"/>
      <c r="U40" s="44"/>
      <c r="V40" s="43"/>
      <c r="W40" s="37" t="n">
        <f aca="false">IF(OR($C40="",$D40=""),0,IF(AND($D40&lt;ИНФА!$F$5,OR($T40="",$T40&gt;=ИНФА!$F$5)),1,0))</f>
        <v>0</v>
      </c>
      <c r="X40" s="46" t="str">
        <f aca="false">IF($C40="","",INDEX(СОБЫТИЯ!$B$5:$K$8,MATCH($K40,СОБЫТИЯ!$A$5:$A$8,0),ИНФА!$F$5))</f>
        <v/>
      </c>
      <c r="Y40" s="42" t="str">
        <f aca="false">IF($C40="","",IF($W40=1,ROUND($L40*$O40*IF(AND($Q40&lt;&gt;"",$S40&lt;&gt;""),IF($S40&lt;ИНФА!$F$5,$R40,1),1)*$X40,0)-$M40+N($AF40)+N($AG40),0))</f>
        <v/>
      </c>
      <c r="Z40" s="38" t="str">
        <f aca="false">IF($C40="","",IF($T40="",INDEX(ИНФА!$M$5:$M$19,MATCH($C40,ИНФА!$I$5:$I$19,0)),0))</f>
        <v/>
      </c>
      <c r="AA40" s="38" t="str">
        <f aca="false">IF(OR($C40="",$T40=""),"",IF($V40&lt;&gt;"",$V40,INDEX(ИНФА!$N$5:$N$19,MATCH($C40,ИНФА!$I$5:$I$19,0))))</f>
        <v/>
      </c>
      <c r="AB40" s="37" t="str">
        <f aca="false">IF($C40="","",IF($T40&lt;&gt;"",IF($U40&lt;&gt;"","продано компании "&amp;$U40&amp;" в цикле "&amp;$T40,"продано Инфраструктуре в цикле "&amp;$T40),IF($D40&gt;=ИНФА!$F$5,"доход со следующего цикла","приносит доход")))</f>
        <v/>
      </c>
      <c r="AC40" s="47" t="str">
        <f aca="false">IF($C40="","",IF($F40="","",IF($E40="","укажите продавца; ",IF(OR($F40&lt;INDEX(ИНФА!$N$5:$N$19,MATCH($C40,ИНФА!$I$5:$I$19,0)),$F40&gt;INDEX(ИНФА!$M$5:$M$19,MATCH($C40,ИНФА!$I$5:$I$19,0))),"цена покупки вне коридора! ","")))&amp;IF($U40="","",IF(OR($V40="",$T40=""),"укажите цикл и цену продажи; ",IF(OR($V40&lt;INDEX(ИНФА!$N$5:$N$19,MATCH($C40,ИНФА!$I$5:$I$19,0)),$V40&gt;INDEX(ИНФА!$M$5:$M$19,MATCH($C40,ИНФА!$I$5:$I$19,0))),"цена продажи вне коридора! ","")))&amp;IF(AND($T40="",COUNTIFS($C$5:$C40,$C40,$T$5:$T40,"")&gt;INDEX(ИНФА!$Q$5:$Q$19,MATCH($C40,ИНФА!$I$5:$I$19,0))),"лотов нет! ","")&amp;IF(AND($E40&lt;&gt;"",$F40=""),"укажите цену сделки; ","")&amp;IF(AND(N($H40)&gt;0,OR($AD40="",$AD40="Профессия"),OR($H40&gt;ИНФА!$F$29,$I40&lt;INDEX(ИНФА!$N$5:$N$19,MATCH($C40,ИНФА!$I$5:$I$19,0))+ИНФА!$F$30)),"скидка больше лимита или цена ниже выкупа + 500! ","")&amp;IF($AE40="","",IF(IFERROR(INDEX($B$5:$B$204,MATCH($AE40,$A$5:$A$204,0))=$B40,TRUE()),"бизнес-пара — только со зданием другой компании; ",""))&amp;IF($Q40="","",IF(IFERROR(INDEX(НАУКА!$B$5:$B$44,MATCH($Q40,НАУКА!$A$5:$A$44,0))&lt;&gt;$B40,FALSE()),"патент другой компании — нужна лицензия или соглашение; ","")))</f>
        <v/>
      </c>
      <c r="AD40" s="44"/>
      <c r="AE40" s="44"/>
      <c r="AF40" s="38" t="str">
        <f aca="false">IF($C40="","",IF(AND($W40=1,OR($C40="Дом",$C40="Кафе")),ИНФА!$F$17*(COUNTIFS($B$5:$B40,$B40,$C$5:$C40,$C40,$W$5:$W40,1)&lt;=COUNTIFS($B$5:$B$204,$B40,$C$5:$C$204,"Парк",$W$5:$W$204,1)),0))</f>
        <v/>
      </c>
      <c r="AG40" s="38" t="str">
        <f aca="false">IF($C40="","",IF($W40=1,IF(OR(AND($AE40&lt;&gt;"",IFERROR(INDEX($W$5:$W$204,MATCH($AE40,$A$5:$A$204,0))=1,FALSE()),IFERROR(INDEX($B$5:$B$204,MATCH($AE40,$A$5:$A$204,0))&lt;&gt;$B40,FALSE())),COUNTIFS($AE$5:$AE$204,$A40,$W$5:$W$204,1,$B$5:$B$204,"&lt;&gt;"&amp;$B40)&gt;0),ИНФА!$F$31,0),0))</f>
        <v/>
      </c>
    </row>
    <row r="41" customFormat="false" ht="15" hidden="false" customHeight="false" outlineLevel="0" collapsed="false">
      <c r="A41" s="15" t="n">
        <v>37</v>
      </c>
      <c r="B41" s="44"/>
      <c r="C41" s="44"/>
      <c r="D41" s="44"/>
      <c r="E41" s="44"/>
      <c r="F41" s="43"/>
      <c r="G41" s="38" t="str">
        <f aca="false">IF($C41="","",IF($F41&lt;&gt;"",$F41,INDEX(ИНФА!$M$5:$M$19,MATCH($C41,ИНФА!$I$5:$I$19,0))))</f>
        <v/>
      </c>
      <c r="H41" s="43"/>
      <c r="I41" s="38" t="str">
        <f aca="false">IF($C41="","",G41-N(H41))</f>
        <v/>
      </c>
      <c r="J41" s="37" t="str">
        <f aca="false">IF($C41="","",INDEX(ИНФА!$J$5:$J$19,MATCH($C41,ИНФА!$I$5:$I$19,0)))</f>
        <v/>
      </c>
      <c r="K41" s="37" t="str">
        <f aca="false">IF($C41="","",INDEX(ИНФА!$K$5:$K$19,MATCH($C41,ИНФА!$I$5:$I$19,0)))</f>
        <v/>
      </c>
      <c r="L41" s="38" t="str">
        <f aca="false">IF($C41="","",INDEX(ИНФА!$O$5:$O$19,MATCH($C41,ИНФА!$I$5:$I$19,0)))</f>
        <v/>
      </c>
      <c r="M41" s="38" t="str">
        <f aca="false">IF($C41="","",INDEX(ИНФА!$P$5:$P$19,MATCH($C41,ИНФА!$I$5:$I$19,0)))</f>
        <v/>
      </c>
      <c r="N41" s="44"/>
      <c r="O41" s="48" t="n">
        <f aca="false">IF(OR($C41="",$N41=""),1,IF(AND($J41="Услуги",IFERROR(INDEX($C$5:$C$204,MATCH($N41,$A$5:$A$204,0))=INDEX(ИНФА!$L$5:$L$19,MATCH($C41,ИНФА!$I$5:$I$19,0)),FALSE()),IFERROR(INDEX($W$5:$W$204,MATCH($N41,$A$5:$A$204,0))=1,FALSE()),COUNTIF($N$5:$N41,$N41)&lt;=ИНФА!$F$16),1+ИНФА!$F$15,1))</f>
        <v>1</v>
      </c>
      <c r="P41" s="47" t="str">
        <f aca="false">IF($C41="","",IF($J41&lt;&gt;"Услуги","",IF($N41="","нет поставщика — нужен "&amp;INDEX(ИНФА!$L$5:$L$19,MATCH($C41,ИНФА!$I$5:$I$19,0)),IF($O41&gt;1,"✓ поставка работает (+50%)",IF(IFERROR(INDEX($C$5:$C$204,MATCH($N41,$A$5:$A$204,0))&lt;&gt;INDEX(ИНФА!$L$5:$L$19,MATCH($C41,ИНФА!$I$5:$I$19,0)),TRUE()),"не тот поставщик: нужен "&amp;INDEX(ИНФА!$L$5:$L$19,MATCH($C41,ИНФА!$I$5:$I$19,0)),IF(COUNTIF($N$5:$N41,$N41)&gt;ИНФА!$F$16,"поставщик перегружен","поставщик ещё не работает или продан"))))))</f>
        <v/>
      </c>
      <c r="Q41" s="44"/>
      <c r="R41" s="48" t="str">
        <f aca="false">IF($C41="","",IF($Q41="",1,IFERROR(INDEX(НАУКА!$K$5:$K$44,MATCH($Q41,НАУКА!$A$5:$A$44,0)),1)))</f>
        <v/>
      </c>
      <c r="S41" s="37" t="str">
        <f aca="false">IF($Q41="","",IFERROR(INDEX(НАУКА!$G$5:$G$44,MATCH($Q41,НАУКА!$A$5:$A$44,0)),""))</f>
        <v/>
      </c>
      <c r="T41" s="44"/>
      <c r="U41" s="44"/>
      <c r="V41" s="43"/>
      <c r="W41" s="37" t="n">
        <f aca="false">IF(OR($C41="",$D41=""),0,IF(AND($D41&lt;ИНФА!$F$5,OR($T41="",$T41&gt;=ИНФА!$F$5)),1,0))</f>
        <v>0</v>
      </c>
      <c r="X41" s="46" t="str">
        <f aca="false">IF($C41="","",INDEX(СОБЫТИЯ!$B$5:$K$8,MATCH($K41,СОБЫТИЯ!$A$5:$A$8,0),ИНФА!$F$5))</f>
        <v/>
      </c>
      <c r="Y41" s="42" t="str">
        <f aca="false">IF($C41="","",IF($W41=1,ROUND($L41*$O41*IF(AND($Q41&lt;&gt;"",$S41&lt;&gt;""),IF($S41&lt;ИНФА!$F$5,$R41,1),1)*$X41,0)-$M41+N($AF41)+N($AG41),0))</f>
        <v/>
      </c>
      <c r="Z41" s="38" t="str">
        <f aca="false">IF($C41="","",IF($T41="",INDEX(ИНФА!$M$5:$M$19,MATCH($C41,ИНФА!$I$5:$I$19,0)),0))</f>
        <v/>
      </c>
      <c r="AA41" s="38" t="str">
        <f aca="false">IF(OR($C41="",$T41=""),"",IF($V41&lt;&gt;"",$V41,INDEX(ИНФА!$N$5:$N$19,MATCH($C41,ИНФА!$I$5:$I$19,0))))</f>
        <v/>
      </c>
      <c r="AB41" s="37" t="str">
        <f aca="false">IF($C41="","",IF($T41&lt;&gt;"",IF($U41&lt;&gt;"","продано компании "&amp;$U41&amp;" в цикле "&amp;$T41,"продано Инфраструктуре в цикле "&amp;$T41),IF($D41&gt;=ИНФА!$F$5,"доход со следующего цикла","приносит доход")))</f>
        <v/>
      </c>
      <c r="AC41" s="47" t="str">
        <f aca="false">IF($C41="","",IF($F41="","",IF($E41="","укажите продавца; ",IF(OR($F41&lt;INDEX(ИНФА!$N$5:$N$19,MATCH($C41,ИНФА!$I$5:$I$19,0)),$F41&gt;INDEX(ИНФА!$M$5:$M$19,MATCH($C41,ИНФА!$I$5:$I$19,0))),"цена покупки вне коридора! ","")))&amp;IF($U41="","",IF(OR($V41="",$T41=""),"укажите цикл и цену продажи; ",IF(OR($V41&lt;INDEX(ИНФА!$N$5:$N$19,MATCH($C41,ИНФА!$I$5:$I$19,0)),$V41&gt;INDEX(ИНФА!$M$5:$M$19,MATCH($C41,ИНФА!$I$5:$I$19,0))),"цена продажи вне коридора! ","")))&amp;IF(AND($T41="",COUNTIFS($C$5:$C41,$C41,$T$5:$T41,"")&gt;INDEX(ИНФА!$Q$5:$Q$19,MATCH($C41,ИНФА!$I$5:$I$19,0))),"лотов нет! ","")&amp;IF(AND($E41&lt;&gt;"",$F41=""),"укажите цену сделки; ","")&amp;IF(AND(N($H41)&gt;0,OR($AD41="",$AD41="Профессия"),OR($H41&gt;ИНФА!$F$29,$I41&lt;INDEX(ИНФА!$N$5:$N$19,MATCH($C41,ИНФА!$I$5:$I$19,0))+ИНФА!$F$30)),"скидка больше лимита или цена ниже выкупа + 500! ","")&amp;IF($AE41="","",IF(IFERROR(INDEX($B$5:$B$204,MATCH($AE41,$A$5:$A$204,0))=$B41,TRUE()),"бизнес-пара — только со зданием другой компании; ",""))&amp;IF($Q41="","",IF(IFERROR(INDEX(НАУКА!$B$5:$B$44,MATCH($Q41,НАУКА!$A$5:$A$44,0))&lt;&gt;$B41,FALSE()),"патент другой компании — нужна лицензия или соглашение; ","")))</f>
        <v/>
      </c>
      <c r="AD41" s="44"/>
      <c r="AE41" s="44"/>
      <c r="AF41" s="38" t="str">
        <f aca="false">IF($C41="","",IF(AND($W41=1,OR($C41="Дом",$C41="Кафе")),ИНФА!$F$17*(COUNTIFS($B$5:$B41,$B41,$C$5:$C41,$C41,$W$5:$W41,1)&lt;=COUNTIFS($B$5:$B$204,$B41,$C$5:$C$204,"Парк",$W$5:$W$204,1)),0))</f>
        <v/>
      </c>
      <c r="AG41" s="38" t="str">
        <f aca="false">IF($C41="","",IF($W41=1,IF(OR(AND($AE41&lt;&gt;"",IFERROR(INDEX($W$5:$W$204,MATCH($AE41,$A$5:$A$204,0))=1,FALSE()),IFERROR(INDEX($B$5:$B$204,MATCH($AE41,$A$5:$A$204,0))&lt;&gt;$B41,FALSE())),COUNTIFS($AE$5:$AE$204,$A41,$W$5:$W$204,1,$B$5:$B$204,"&lt;&gt;"&amp;$B41)&gt;0),ИНФА!$F$31,0),0))</f>
        <v/>
      </c>
    </row>
    <row r="42" customFormat="false" ht="15" hidden="false" customHeight="false" outlineLevel="0" collapsed="false">
      <c r="A42" s="15" t="n">
        <v>38</v>
      </c>
      <c r="B42" s="44"/>
      <c r="C42" s="44"/>
      <c r="D42" s="44"/>
      <c r="E42" s="44"/>
      <c r="F42" s="43"/>
      <c r="G42" s="38" t="str">
        <f aca="false">IF($C42="","",IF($F42&lt;&gt;"",$F42,INDEX(ИНФА!$M$5:$M$19,MATCH($C42,ИНФА!$I$5:$I$19,0))))</f>
        <v/>
      </c>
      <c r="H42" s="43"/>
      <c r="I42" s="38" t="str">
        <f aca="false">IF($C42="","",G42-N(H42))</f>
        <v/>
      </c>
      <c r="J42" s="37" t="str">
        <f aca="false">IF($C42="","",INDEX(ИНФА!$J$5:$J$19,MATCH($C42,ИНФА!$I$5:$I$19,0)))</f>
        <v/>
      </c>
      <c r="K42" s="37" t="str">
        <f aca="false">IF($C42="","",INDEX(ИНФА!$K$5:$K$19,MATCH($C42,ИНФА!$I$5:$I$19,0)))</f>
        <v/>
      </c>
      <c r="L42" s="38" t="str">
        <f aca="false">IF($C42="","",INDEX(ИНФА!$O$5:$O$19,MATCH($C42,ИНФА!$I$5:$I$19,0)))</f>
        <v/>
      </c>
      <c r="M42" s="38" t="str">
        <f aca="false">IF($C42="","",INDEX(ИНФА!$P$5:$P$19,MATCH($C42,ИНФА!$I$5:$I$19,0)))</f>
        <v/>
      </c>
      <c r="N42" s="44"/>
      <c r="O42" s="48" t="n">
        <f aca="false">IF(OR($C42="",$N42=""),1,IF(AND($J42="Услуги",IFERROR(INDEX($C$5:$C$204,MATCH($N42,$A$5:$A$204,0))=INDEX(ИНФА!$L$5:$L$19,MATCH($C42,ИНФА!$I$5:$I$19,0)),FALSE()),IFERROR(INDEX($W$5:$W$204,MATCH($N42,$A$5:$A$204,0))=1,FALSE()),COUNTIF($N$5:$N42,$N42)&lt;=ИНФА!$F$16),1+ИНФА!$F$15,1))</f>
        <v>1</v>
      </c>
      <c r="P42" s="47" t="str">
        <f aca="false">IF($C42="","",IF($J42&lt;&gt;"Услуги","",IF($N42="","нет поставщика — нужен "&amp;INDEX(ИНФА!$L$5:$L$19,MATCH($C42,ИНФА!$I$5:$I$19,0)),IF($O42&gt;1,"✓ поставка работает (+50%)",IF(IFERROR(INDEX($C$5:$C$204,MATCH($N42,$A$5:$A$204,0))&lt;&gt;INDEX(ИНФА!$L$5:$L$19,MATCH($C42,ИНФА!$I$5:$I$19,0)),TRUE()),"не тот поставщик: нужен "&amp;INDEX(ИНФА!$L$5:$L$19,MATCH($C42,ИНФА!$I$5:$I$19,0)),IF(COUNTIF($N$5:$N42,$N42)&gt;ИНФА!$F$16,"поставщик перегружен","поставщик ещё не работает или продан"))))))</f>
        <v/>
      </c>
      <c r="Q42" s="44"/>
      <c r="R42" s="48" t="str">
        <f aca="false">IF($C42="","",IF($Q42="",1,IFERROR(INDEX(НАУКА!$K$5:$K$44,MATCH($Q42,НАУКА!$A$5:$A$44,0)),1)))</f>
        <v/>
      </c>
      <c r="S42" s="37" t="str">
        <f aca="false">IF($Q42="","",IFERROR(INDEX(НАУКА!$G$5:$G$44,MATCH($Q42,НАУКА!$A$5:$A$44,0)),""))</f>
        <v/>
      </c>
      <c r="T42" s="44"/>
      <c r="U42" s="44"/>
      <c r="V42" s="43"/>
      <c r="W42" s="37" t="n">
        <f aca="false">IF(OR($C42="",$D42=""),0,IF(AND($D42&lt;ИНФА!$F$5,OR($T42="",$T42&gt;=ИНФА!$F$5)),1,0))</f>
        <v>0</v>
      </c>
      <c r="X42" s="46" t="str">
        <f aca="false">IF($C42="","",INDEX(СОБЫТИЯ!$B$5:$K$8,MATCH($K42,СОБЫТИЯ!$A$5:$A$8,0),ИНФА!$F$5))</f>
        <v/>
      </c>
      <c r="Y42" s="42" t="str">
        <f aca="false">IF($C42="","",IF($W42=1,ROUND($L42*$O42*IF(AND($Q42&lt;&gt;"",$S42&lt;&gt;""),IF($S42&lt;ИНФА!$F$5,$R42,1),1)*$X42,0)-$M42+N($AF42)+N($AG42),0))</f>
        <v/>
      </c>
      <c r="Z42" s="38" t="str">
        <f aca="false">IF($C42="","",IF($T42="",INDEX(ИНФА!$M$5:$M$19,MATCH($C42,ИНФА!$I$5:$I$19,0)),0))</f>
        <v/>
      </c>
      <c r="AA42" s="38" t="str">
        <f aca="false">IF(OR($C42="",$T42=""),"",IF($V42&lt;&gt;"",$V42,INDEX(ИНФА!$N$5:$N$19,MATCH($C42,ИНФА!$I$5:$I$19,0))))</f>
        <v/>
      </c>
      <c r="AB42" s="37" t="str">
        <f aca="false">IF($C42="","",IF($T42&lt;&gt;"",IF($U42&lt;&gt;"","продано компании "&amp;$U42&amp;" в цикле "&amp;$T42,"продано Инфраструктуре в цикле "&amp;$T42),IF($D42&gt;=ИНФА!$F$5,"доход со следующего цикла","приносит доход")))</f>
        <v/>
      </c>
      <c r="AC42" s="47" t="str">
        <f aca="false">IF($C42="","",IF($F42="","",IF($E42="","укажите продавца; ",IF(OR($F42&lt;INDEX(ИНФА!$N$5:$N$19,MATCH($C42,ИНФА!$I$5:$I$19,0)),$F42&gt;INDEX(ИНФА!$M$5:$M$19,MATCH($C42,ИНФА!$I$5:$I$19,0))),"цена покупки вне коридора! ","")))&amp;IF($U42="","",IF(OR($V42="",$T42=""),"укажите цикл и цену продажи; ",IF(OR($V42&lt;INDEX(ИНФА!$N$5:$N$19,MATCH($C42,ИНФА!$I$5:$I$19,0)),$V42&gt;INDEX(ИНФА!$M$5:$M$19,MATCH($C42,ИНФА!$I$5:$I$19,0))),"цена продажи вне коридора! ","")))&amp;IF(AND($T42="",COUNTIFS($C$5:$C42,$C42,$T$5:$T42,"")&gt;INDEX(ИНФА!$Q$5:$Q$19,MATCH($C42,ИНФА!$I$5:$I$19,0))),"лотов нет! ","")&amp;IF(AND($E42&lt;&gt;"",$F42=""),"укажите цену сделки; ","")&amp;IF(AND(N($H42)&gt;0,OR($AD42="",$AD42="Профессия"),OR($H42&gt;ИНФА!$F$29,$I42&lt;INDEX(ИНФА!$N$5:$N$19,MATCH($C42,ИНФА!$I$5:$I$19,0))+ИНФА!$F$30)),"скидка больше лимита или цена ниже выкупа + 500! ","")&amp;IF($AE42="","",IF(IFERROR(INDEX($B$5:$B$204,MATCH($AE42,$A$5:$A$204,0))=$B42,TRUE()),"бизнес-пара — только со зданием другой компании; ",""))&amp;IF($Q42="","",IF(IFERROR(INDEX(НАУКА!$B$5:$B$44,MATCH($Q42,НАУКА!$A$5:$A$44,0))&lt;&gt;$B42,FALSE()),"патент другой компании — нужна лицензия или соглашение; ","")))</f>
        <v/>
      </c>
      <c r="AD42" s="44"/>
      <c r="AE42" s="44"/>
      <c r="AF42" s="38" t="str">
        <f aca="false">IF($C42="","",IF(AND($W42=1,OR($C42="Дом",$C42="Кафе")),ИНФА!$F$17*(COUNTIFS($B$5:$B42,$B42,$C$5:$C42,$C42,$W$5:$W42,1)&lt;=COUNTIFS($B$5:$B$204,$B42,$C$5:$C$204,"Парк",$W$5:$W$204,1)),0))</f>
        <v/>
      </c>
      <c r="AG42" s="38" t="str">
        <f aca="false">IF($C42="","",IF($W42=1,IF(OR(AND($AE42&lt;&gt;"",IFERROR(INDEX($W$5:$W$204,MATCH($AE42,$A$5:$A$204,0))=1,FALSE()),IFERROR(INDEX($B$5:$B$204,MATCH($AE42,$A$5:$A$204,0))&lt;&gt;$B42,FALSE())),COUNTIFS($AE$5:$AE$204,$A42,$W$5:$W$204,1,$B$5:$B$204,"&lt;&gt;"&amp;$B42)&gt;0),ИНФА!$F$31,0),0))</f>
        <v/>
      </c>
    </row>
    <row r="43" customFormat="false" ht="15" hidden="false" customHeight="false" outlineLevel="0" collapsed="false">
      <c r="A43" s="15" t="n">
        <v>39</v>
      </c>
      <c r="B43" s="44"/>
      <c r="C43" s="44"/>
      <c r="D43" s="44"/>
      <c r="E43" s="44"/>
      <c r="F43" s="43"/>
      <c r="G43" s="38" t="str">
        <f aca="false">IF($C43="","",IF($F43&lt;&gt;"",$F43,INDEX(ИНФА!$M$5:$M$19,MATCH($C43,ИНФА!$I$5:$I$19,0))))</f>
        <v/>
      </c>
      <c r="H43" s="43"/>
      <c r="I43" s="38" t="str">
        <f aca="false">IF($C43="","",G43-N(H43))</f>
        <v/>
      </c>
      <c r="J43" s="37" t="str">
        <f aca="false">IF($C43="","",INDEX(ИНФА!$J$5:$J$19,MATCH($C43,ИНФА!$I$5:$I$19,0)))</f>
        <v/>
      </c>
      <c r="K43" s="37" t="str">
        <f aca="false">IF($C43="","",INDEX(ИНФА!$K$5:$K$19,MATCH($C43,ИНФА!$I$5:$I$19,0)))</f>
        <v/>
      </c>
      <c r="L43" s="38" t="str">
        <f aca="false">IF($C43="","",INDEX(ИНФА!$O$5:$O$19,MATCH($C43,ИНФА!$I$5:$I$19,0)))</f>
        <v/>
      </c>
      <c r="M43" s="38" t="str">
        <f aca="false">IF($C43="","",INDEX(ИНФА!$P$5:$P$19,MATCH($C43,ИНФА!$I$5:$I$19,0)))</f>
        <v/>
      </c>
      <c r="N43" s="44"/>
      <c r="O43" s="48" t="n">
        <f aca="false">IF(OR($C43="",$N43=""),1,IF(AND($J43="Услуги",IFERROR(INDEX($C$5:$C$204,MATCH($N43,$A$5:$A$204,0))=INDEX(ИНФА!$L$5:$L$19,MATCH($C43,ИНФА!$I$5:$I$19,0)),FALSE()),IFERROR(INDEX($W$5:$W$204,MATCH($N43,$A$5:$A$204,0))=1,FALSE()),COUNTIF($N$5:$N43,$N43)&lt;=ИНФА!$F$16),1+ИНФА!$F$15,1))</f>
        <v>1</v>
      </c>
      <c r="P43" s="47" t="str">
        <f aca="false">IF($C43="","",IF($J43&lt;&gt;"Услуги","",IF($N43="","нет поставщика — нужен "&amp;INDEX(ИНФА!$L$5:$L$19,MATCH($C43,ИНФА!$I$5:$I$19,0)),IF($O43&gt;1,"✓ поставка работает (+50%)",IF(IFERROR(INDEX($C$5:$C$204,MATCH($N43,$A$5:$A$204,0))&lt;&gt;INDEX(ИНФА!$L$5:$L$19,MATCH($C43,ИНФА!$I$5:$I$19,0)),TRUE()),"не тот поставщик: нужен "&amp;INDEX(ИНФА!$L$5:$L$19,MATCH($C43,ИНФА!$I$5:$I$19,0)),IF(COUNTIF($N$5:$N43,$N43)&gt;ИНФА!$F$16,"поставщик перегружен","поставщик ещё не работает или продан"))))))</f>
        <v/>
      </c>
      <c r="Q43" s="44"/>
      <c r="R43" s="48" t="str">
        <f aca="false">IF($C43="","",IF($Q43="",1,IFERROR(INDEX(НАУКА!$K$5:$K$44,MATCH($Q43,НАУКА!$A$5:$A$44,0)),1)))</f>
        <v/>
      </c>
      <c r="S43" s="37" t="str">
        <f aca="false">IF($Q43="","",IFERROR(INDEX(НАУКА!$G$5:$G$44,MATCH($Q43,НАУКА!$A$5:$A$44,0)),""))</f>
        <v/>
      </c>
      <c r="T43" s="44"/>
      <c r="U43" s="44"/>
      <c r="V43" s="43"/>
      <c r="W43" s="37" t="n">
        <f aca="false">IF(OR($C43="",$D43=""),0,IF(AND($D43&lt;ИНФА!$F$5,OR($T43="",$T43&gt;=ИНФА!$F$5)),1,0))</f>
        <v>0</v>
      </c>
      <c r="X43" s="46" t="str">
        <f aca="false">IF($C43="","",INDEX(СОБЫТИЯ!$B$5:$K$8,MATCH($K43,СОБЫТИЯ!$A$5:$A$8,0),ИНФА!$F$5))</f>
        <v/>
      </c>
      <c r="Y43" s="42" t="str">
        <f aca="false">IF($C43="","",IF($W43=1,ROUND($L43*$O43*IF(AND($Q43&lt;&gt;"",$S43&lt;&gt;""),IF($S43&lt;ИНФА!$F$5,$R43,1),1)*$X43,0)-$M43+N($AF43)+N($AG43),0))</f>
        <v/>
      </c>
      <c r="Z43" s="38" t="str">
        <f aca="false">IF($C43="","",IF($T43="",INDEX(ИНФА!$M$5:$M$19,MATCH($C43,ИНФА!$I$5:$I$19,0)),0))</f>
        <v/>
      </c>
      <c r="AA43" s="38" t="str">
        <f aca="false">IF(OR($C43="",$T43=""),"",IF($V43&lt;&gt;"",$V43,INDEX(ИНФА!$N$5:$N$19,MATCH($C43,ИНФА!$I$5:$I$19,0))))</f>
        <v/>
      </c>
      <c r="AB43" s="37" t="str">
        <f aca="false">IF($C43="","",IF($T43&lt;&gt;"",IF($U43&lt;&gt;"","продано компании "&amp;$U43&amp;" в цикле "&amp;$T43,"продано Инфраструктуре в цикле "&amp;$T43),IF($D43&gt;=ИНФА!$F$5,"доход со следующего цикла","приносит доход")))</f>
        <v/>
      </c>
      <c r="AC43" s="47" t="str">
        <f aca="false">IF($C43="","",IF($F43="","",IF($E43="","укажите продавца; ",IF(OR($F43&lt;INDEX(ИНФА!$N$5:$N$19,MATCH($C43,ИНФА!$I$5:$I$19,0)),$F43&gt;INDEX(ИНФА!$M$5:$M$19,MATCH($C43,ИНФА!$I$5:$I$19,0))),"цена покупки вне коридора! ","")))&amp;IF($U43="","",IF(OR($V43="",$T43=""),"укажите цикл и цену продажи; ",IF(OR($V43&lt;INDEX(ИНФА!$N$5:$N$19,MATCH($C43,ИНФА!$I$5:$I$19,0)),$V43&gt;INDEX(ИНФА!$M$5:$M$19,MATCH($C43,ИНФА!$I$5:$I$19,0))),"цена продажи вне коридора! ","")))&amp;IF(AND($T43="",COUNTIFS($C$5:$C43,$C43,$T$5:$T43,"")&gt;INDEX(ИНФА!$Q$5:$Q$19,MATCH($C43,ИНФА!$I$5:$I$19,0))),"лотов нет! ","")&amp;IF(AND($E43&lt;&gt;"",$F43=""),"укажите цену сделки; ","")&amp;IF(AND(N($H43)&gt;0,OR($AD43="",$AD43="Профессия"),OR($H43&gt;ИНФА!$F$29,$I43&lt;INDEX(ИНФА!$N$5:$N$19,MATCH($C43,ИНФА!$I$5:$I$19,0))+ИНФА!$F$30)),"скидка больше лимита или цена ниже выкупа + 500! ","")&amp;IF($AE43="","",IF(IFERROR(INDEX($B$5:$B$204,MATCH($AE43,$A$5:$A$204,0))=$B43,TRUE()),"бизнес-пара — только со зданием другой компании; ",""))&amp;IF($Q43="","",IF(IFERROR(INDEX(НАУКА!$B$5:$B$44,MATCH($Q43,НАУКА!$A$5:$A$44,0))&lt;&gt;$B43,FALSE()),"патент другой компании — нужна лицензия или соглашение; ","")))</f>
        <v/>
      </c>
      <c r="AD43" s="44"/>
      <c r="AE43" s="44"/>
      <c r="AF43" s="38" t="str">
        <f aca="false">IF($C43="","",IF(AND($W43=1,OR($C43="Дом",$C43="Кафе")),ИНФА!$F$17*(COUNTIFS($B$5:$B43,$B43,$C$5:$C43,$C43,$W$5:$W43,1)&lt;=COUNTIFS($B$5:$B$204,$B43,$C$5:$C$204,"Парк",$W$5:$W$204,1)),0))</f>
        <v/>
      </c>
      <c r="AG43" s="38" t="str">
        <f aca="false">IF($C43="","",IF($W43=1,IF(OR(AND($AE43&lt;&gt;"",IFERROR(INDEX($W$5:$W$204,MATCH($AE43,$A$5:$A$204,0))=1,FALSE()),IFERROR(INDEX($B$5:$B$204,MATCH($AE43,$A$5:$A$204,0))&lt;&gt;$B43,FALSE())),COUNTIFS($AE$5:$AE$204,$A43,$W$5:$W$204,1,$B$5:$B$204,"&lt;&gt;"&amp;$B43)&gt;0),ИНФА!$F$31,0),0))</f>
        <v/>
      </c>
    </row>
    <row r="44" customFormat="false" ht="15" hidden="false" customHeight="false" outlineLevel="0" collapsed="false">
      <c r="A44" s="15" t="n">
        <v>40</v>
      </c>
      <c r="B44" s="44"/>
      <c r="C44" s="44"/>
      <c r="D44" s="44"/>
      <c r="E44" s="44"/>
      <c r="F44" s="43"/>
      <c r="G44" s="38" t="str">
        <f aca="false">IF($C44="","",IF($F44&lt;&gt;"",$F44,INDEX(ИНФА!$M$5:$M$19,MATCH($C44,ИНФА!$I$5:$I$19,0))))</f>
        <v/>
      </c>
      <c r="H44" s="43"/>
      <c r="I44" s="38" t="str">
        <f aca="false">IF($C44="","",G44-N(H44))</f>
        <v/>
      </c>
      <c r="J44" s="37" t="str">
        <f aca="false">IF($C44="","",INDEX(ИНФА!$J$5:$J$19,MATCH($C44,ИНФА!$I$5:$I$19,0)))</f>
        <v/>
      </c>
      <c r="K44" s="37" t="str">
        <f aca="false">IF($C44="","",INDEX(ИНФА!$K$5:$K$19,MATCH($C44,ИНФА!$I$5:$I$19,0)))</f>
        <v/>
      </c>
      <c r="L44" s="38" t="str">
        <f aca="false">IF($C44="","",INDEX(ИНФА!$O$5:$O$19,MATCH($C44,ИНФА!$I$5:$I$19,0)))</f>
        <v/>
      </c>
      <c r="M44" s="38" t="str">
        <f aca="false">IF($C44="","",INDEX(ИНФА!$P$5:$P$19,MATCH($C44,ИНФА!$I$5:$I$19,0)))</f>
        <v/>
      </c>
      <c r="N44" s="44"/>
      <c r="O44" s="48" t="n">
        <f aca="false">IF(OR($C44="",$N44=""),1,IF(AND($J44="Услуги",IFERROR(INDEX($C$5:$C$204,MATCH($N44,$A$5:$A$204,0))=INDEX(ИНФА!$L$5:$L$19,MATCH($C44,ИНФА!$I$5:$I$19,0)),FALSE()),IFERROR(INDEX($W$5:$W$204,MATCH($N44,$A$5:$A$204,0))=1,FALSE()),COUNTIF($N$5:$N44,$N44)&lt;=ИНФА!$F$16),1+ИНФА!$F$15,1))</f>
        <v>1</v>
      </c>
      <c r="P44" s="47" t="str">
        <f aca="false">IF($C44="","",IF($J44&lt;&gt;"Услуги","",IF($N44="","нет поставщика — нужен "&amp;INDEX(ИНФА!$L$5:$L$19,MATCH($C44,ИНФА!$I$5:$I$19,0)),IF($O44&gt;1,"✓ поставка работает (+50%)",IF(IFERROR(INDEX($C$5:$C$204,MATCH($N44,$A$5:$A$204,0))&lt;&gt;INDEX(ИНФА!$L$5:$L$19,MATCH($C44,ИНФА!$I$5:$I$19,0)),TRUE()),"не тот поставщик: нужен "&amp;INDEX(ИНФА!$L$5:$L$19,MATCH($C44,ИНФА!$I$5:$I$19,0)),IF(COUNTIF($N$5:$N44,$N44)&gt;ИНФА!$F$16,"поставщик перегружен","поставщик ещё не работает или продан"))))))</f>
        <v/>
      </c>
      <c r="Q44" s="44"/>
      <c r="R44" s="48" t="str">
        <f aca="false">IF($C44="","",IF($Q44="",1,IFERROR(INDEX(НАУКА!$K$5:$K$44,MATCH($Q44,НАУКА!$A$5:$A$44,0)),1)))</f>
        <v/>
      </c>
      <c r="S44" s="37" t="str">
        <f aca="false">IF($Q44="","",IFERROR(INDEX(НАУКА!$G$5:$G$44,MATCH($Q44,НАУКА!$A$5:$A$44,0)),""))</f>
        <v/>
      </c>
      <c r="T44" s="44"/>
      <c r="U44" s="44"/>
      <c r="V44" s="43"/>
      <c r="W44" s="37" t="n">
        <f aca="false">IF(OR($C44="",$D44=""),0,IF(AND($D44&lt;ИНФА!$F$5,OR($T44="",$T44&gt;=ИНФА!$F$5)),1,0))</f>
        <v>0</v>
      </c>
      <c r="X44" s="46" t="str">
        <f aca="false">IF($C44="","",INDEX(СОБЫТИЯ!$B$5:$K$8,MATCH($K44,СОБЫТИЯ!$A$5:$A$8,0),ИНФА!$F$5))</f>
        <v/>
      </c>
      <c r="Y44" s="42" t="str">
        <f aca="false">IF($C44="","",IF($W44=1,ROUND($L44*$O44*IF(AND($Q44&lt;&gt;"",$S44&lt;&gt;""),IF($S44&lt;ИНФА!$F$5,$R44,1),1)*$X44,0)-$M44+N($AF44)+N($AG44),0))</f>
        <v/>
      </c>
      <c r="Z44" s="38" t="str">
        <f aca="false">IF($C44="","",IF($T44="",INDEX(ИНФА!$M$5:$M$19,MATCH($C44,ИНФА!$I$5:$I$19,0)),0))</f>
        <v/>
      </c>
      <c r="AA44" s="38" t="str">
        <f aca="false">IF(OR($C44="",$T44=""),"",IF($V44&lt;&gt;"",$V44,INDEX(ИНФА!$N$5:$N$19,MATCH($C44,ИНФА!$I$5:$I$19,0))))</f>
        <v/>
      </c>
      <c r="AB44" s="37" t="str">
        <f aca="false">IF($C44="","",IF($T44&lt;&gt;"",IF($U44&lt;&gt;"","продано компании "&amp;$U44&amp;" в цикле "&amp;$T44,"продано Инфраструктуре в цикле "&amp;$T44),IF($D44&gt;=ИНФА!$F$5,"доход со следующего цикла","приносит доход")))</f>
        <v/>
      </c>
      <c r="AC44" s="47" t="str">
        <f aca="false">IF($C44="","",IF($F44="","",IF($E44="","укажите продавца; ",IF(OR($F44&lt;INDEX(ИНФА!$N$5:$N$19,MATCH($C44,ИНФА!$I$5:$I$19,0)),$F44&gt;INDEX(ИНФА!$M$5:$M$19,MATCH($C44,ИНФА!$I$5:$I$19,0))),"цена покупки вне коридора! ","")))&amp;IF($U44="","",IF(OR($V44="",$T44=""),"укажите цикл и цену продажи; ",IF(OR($V44&lt;INDEX(ИНФА!$N$5:$N$19,MATCH($C44,ИНФА!$I$5:$I$19,0)),$V44&gt;INDEX(ИНФА!$M$5:$M$19,MATCH($C44,ИНФА!$I$5:$I$19,0))),"цена продажи вне коридора! ","")))&amp;IF(AND($T44="",COUNTIFS($C$5:$C44,$C44,$T$5:$T44,"")&gt;INDEX(ИНФА!$Q$5:$Q$19,MATCH($C44,ИНФА!$I$5:$I$19,0))),"лотов нет! ","")&amp;IF(AND($E44&lt;&gt;"",$F44=""),"укажите цену сделки; ","")&amp;IF(AND(N($H44)&gt;0,OR($AD44="",$AD44="Профессия"),OR($H44&gt;ИНФА!$F$29,$I44&lt;INDEX(ИНФА!$N$5:$N$19,MATCH($C44,ИНФА!$I$5:$I$19,0))+ИНФА!$F$30)),"скидка больше лимита или цена ниже выкупа + 500! ","")&amp;IF($AE44="","",IF(IFERROR(INDEX($B$5:$B$204,MATCH($AE44,$A$5:$A$204,0))=$B44,TRUE()),"бизнес-пара — только со зданием другой компании; ",""))&amp;IF($Q44="","",IF(IFERROR(INDEX(НАУКА!$B$5:$B$44,MATCH($Q44,НАУКА!$A$5:$A$44,0))&lt;&gt;$B44,FALSE()),"патент другой компании — нужна лицензия или соглашение; ","")))</f>
        <v/>
      </c>
      <c r="AD44" s="44"/>
      <c r="AE44" s="44"/>
      <c r="AF44" s="38" t="str">
        <f aca="false">IF($C44="","",IF(AND($W44=1,OR($C44="Дом",$C44="Кафе")),ИНФА!$F$17*(COUNTIFS($B$5:$B44,$B44,$C$5:$C44,$C44,$W$5:$W44,1)&lt;=COUNTIFS($B$5:$B$204,$B44,$C$5:$C$204,"Парк",$W$5:$W$204,1)),0))</f>
        <v/>
      </c>
      <c r="AG44" s="38" t="str">
        <f aca="false">IF($C44="","",IF($W44=1,IF(OR(AND($AE44&lt;&gt;"",IFERROR(INDEX($W$5:$W$204,MATCH($AE44,$A$5:$A$204,0))=1,FALSE()),IFERROR(INDEX($B$5:$B$204,MATCH($AE44,$A$5:$A$204,0))&lt;&gt;$B44,FALSE())),COUNTIFS($AE$5:$AE$204,$A44,$W$5:$W$204,1,$B$5:$B$204,"&lt;&gt;"&amp;$B44)&gt;0),ИНФА!$F$31,0),0))</f>
        <v/>
      </c>
    </row>
    <row r="45" customFormat="false" ht="15" hidden="false" customHeight="false" outlineLevel="0" collapsed="false">
      <c r="A45" s="15" t="n">
        <v>41</v>
      </c>
      <c r="B45" s="44"/>
      <c r="C45" s="44"/>
      <c r="D45" s="44"/>
      <c r="E45" s="44"/>
      <c r="F45" s="43"/>
      <c r="G45" s="38" t="str">
        <f aca="false">IF($C45="","",IF($F45&lt;&gt;"",$F45,INDEX(ИНФА!$M$5:$M$19,MATCH($C45,ИНФА!$I$5:$I$19,0))))</f>
        <v/>
      </c>
      <c r="H45" s="43"/>
      <c r="I45" s="38" t="str">
        <f aca="false">IF($C45="","",G45-N(H45))</f>
        <v/>
      </c>
      <c r="J45" s="37" t="str">
        <f aca="false">IF($C45="","",INDEX(ИНФА!$J$5:$J$19,MATCH($C45,ИНФА!$I$5:$I$19,0)))</f>
        <v/>
      </c>
      <c r="K45" s="37" t="str">
        <f aca="false">IF($C45="","",INDEX(ИНФА!$K$5:$K$19,MATCH($C45,ИНФА!$I$5:$I$19,0)))</f>
        <v/>
      </c>
      <c r="L45" s="38" t="str">
        <f aca="false">IF($C45="","",INDEX(ИНФА!$O$5:$O$19,MATCH($C45,ИНФА!$I$5:$I$19,0)))</f>
        <v/>
      </c>
      <c r="M45" s="38" t="str">
        <f aca="false">IF($C45="","",INDEX(ИНФА!$P$5:$P$19,MATCH($C45,ИНФА!$I$5:$I$19,0)))</f>
        <v/>
      </c>
      <c r="N45" s="44"/>
      <c r="O45" s="48" t="n">
        <f aca="false">IF(OR($C45="",$N45=""),1,IF(AND($J45="Услуги",IFERROR(INDEX($C$5:$C$204,MATCH($N45,$A$5:$A$204,0))=INDEX(ИНФА!$L$5:$L$19,MATCH($C45,ИНФА!$I$5:$I$19,0)),FALSE()),IFERROR(INDEX($W$5:$W$204,MATCH($N45,$A$5:$A$204,0))=1,FALSE()),COUNTIF($N$5:$N45,$N45)&lt;=ИНФА!$F$16),1+ИНФА!$F$15,1))</f>
        <v>1</v>
      </c>
      <c r="P45" s="47" t="str">
        <f aca="false">IF($C45="","",IF($J45&lt;&gt;"Услуги","",IF($N45="","нет поставщика — нужен "&amp;INDEX(ИНФА!$L$5:$L$19,MATCH($C45,ИНФА!$I$5:$I$19,0)),IF($O45&gt;1,"✓ поставка работает (+50%)",IF(IFERROR(INDEX($C$5:$C$204,MATCH($N45,$A$5:$A$204,0))&lt;&gt;INDEX(ИНФА!$L$5:$L$19,MATCH($C45,ИНФА!$I$5:$I$19,0)),TRUE()),"не тот поставщик: нужен "&amp;INDEX(ИНФА!$L$5:$L$19,MATCH($C45,ИНФА!$I$5:$I$19,0)),IF(COUNTIF($N$5:$N45,$N45)&gt;ИНФА!$F$16,"поставщик перегружен","поставщик ещё не работает или продан"))))))</f>
        <v/>
      </c>
      <c r="Q45" s="44"/>
      <c r="R45" s="48" t="str">
        <f aca="false">IF($C45="","",IF($Q45="",1,IFERROR(INDEX(НАУКА!$K$5:$K$44,MATCH($Q45,НАУКА!$A$5:$A$44,0)),1)))</f>
        <v/>
      </c>
      <c r="S45" s="37" t="str">
        <f aca="false">IF($Q45="","",IFERROR(INDEX(НАУКА!$G$5:$G$44,MATCH($Q45,НАУКА!$A$5:$A$44,0)),""))</f>
        <v/>
      </c>
      <c r="T45" s="44"/>
      <c r="U45" s="44"/>
      <c r="V45" s="43"/>
      <c r="W45" s="37" t="n">
        <f aca="false">IF(OR($C45="",$D45=""),0,IF(AND($D45&lt;ИНФА!$F$5,OR($T45="",$T45&gt;=ИНФА!$F$5)),1,0))</f>
        <v>0</v>
      </c>
      <c r="X45" s="46" t="str">
        <f aca="false">IF($C45="","",INDEX(СОБЫТИЯ!$B$5:$K$8,MATCH($K45,СОБЫТИЯ!$A$5:$A$8,0),ИНФА!$F$5))</f>
        <v/>
      </c>
      <c r="Y45" s="42" t="str">
        <f aca="false">IF($C45="","",IF($W45=1,ROUND($L45*$O45*IF(AND($Q45&lt;&gt;"",$S45&lt;&gt;""),IF($S45&lt;ИНФА!$F$5,$R45,1),1)*$X45,0)-$M45+N($AF45)+N($AG45),0))</f>
        <v/>
      </c>
      <c r="Z45" s="38" t="str">
        <f aca="false">IF($C45="","",IF($T45="",INDEX(ИНФА!$M$5:$M$19,MATCH($C45,ИНФА!$I$5:$I$19,0)),0))</f>
        <v/>
      </c>
      <c r="AA45" s="38" t="str">
        <f aca="false">IF(OR($C45="",$T45=""),"",IF($V45&lt;&gt;"",$V45,INDEX(ИНФА!$N$5:$N$19,MATCH($C45,ИНФА!$I$5:$I$19,0))))</f>
        <v/>
      </c>
      <c r="AB45" s="37" t="str">
        <f aca="false">IF($C45="","",IF($T45&lt;&gt;"",IF($U45&lt;&gt;"","продано компании "&amp;$U45&amp;" в цикле "&amp;$T45,"продано Инфраструктуре в цикле "&amp;$T45),IF($D45&gt;=ИНФА!$F$5,"доход со следующего цикла","приносит доход")))</f>
        <v/>
      </c>
      <c r="AC45" s="47" t="str">
        <f aca="false">IF($C45="","",IF($F45="","",IF($E45="","укажите продавца; ",IF(OR($F45&lt;INDEX(ИНФА!$N$5:$N$19,MATCH($C45,ИНФА!$I$5:$I$19,0)),$F45&gt;INDEX(ИНФА!$M$5:$M$19,MATCH($C45,ИНФА!$I$5:$I$19,0))),"цена покупки вне коридора! ","")))&amp;IF($U45="","",IF(OR($V45="",$T45=""),"укажите цикл и цену продажи; ",IF(OR($V45&lt;INDEX(ИНФА!$N$5:$N$19,MATCH($C45,ИНФА!$I$5:$I$19,0)),$V45&gt;INDEX(ИНФА!$M$5:$M$19,MATCH($C45,ИНФА!$I$5:$I$19,0))),"цена продажи вне коридора! ","")))&amp;IF(AND($T45="",COUNTIFS($C$5:$C45,$C45,$T$5:$T45,"")&gt;INDEX(ИНФА!$Q$5:$Q$19,MATCH($C45,ИНФА!$I$5:$I$19,0))),"лотов нет! ","")&amp;IF(AND($E45&lt;&gt;"",$F45=""),"укажите цену сделки; ","")&amp;IF(AND(N($H45)&gt;0,OR($AD45="",$AD45="Профессия"),OR($H45&gt;ИНФА!$F$29,$I45&lt;INDEX(ИНФА!$N$5:$N$19,MATCH($C45,ИНФА!$I$5:$I$19,0))+ИНФА!$F$30)),"скидка больше лимита или цена ниже выкупа + 500! ","")&amp;IF($AE45="","",IF(IFERROR(INDEX($B$5:$B$204,MATCH($AE45,$A$5:$A$204,0))=$B45,TRUE()),"бизнес-пара — только со зданием другой компании; ",""))&amp;IF($Q45="","",IF(IFERROR(INDEX(НАУКА!$B$5:$B$44,MATCH($Q45,НАУКА!$A$5:$A$44,0))&lt;&gt;$B45,FALSE()),"патент другой компании — нужна лицензия или соглашение; ","")))</f>
        <v/>
      </c>
      <c r="AD45" s="44"/>
      <c r="AE45" s="44"/>
      <c r="AF45" s="38" t="str">
        <f aca="false">IF($C45="","",IF(AND($W45=1,OR($C45="Дом",$C45="Кафе")),ИНФА!$F$17*(COUNTIFS($B$5:$B45,$B45,$C$5:$C45,$C45,$W$5:$W45,1)&lt;=COUNTIFS($B$5:$B$204,$B45,$C$5:$C$204,"Парк",$W$5:$W$204,1)),0))</f>
        <v/>
      </c>
      <c r="AG45" s="38" t="str">
        <f aca="false">IF($C45="","",IF($W45=1,IF(OR(AND($AE45&lt;&gt;"",IFERROR(INDEX($W$5:$W$204,MATCH($AE45,$A$5:$A$204,0))=1,FALSE()),IFERROR(INDEX($B$5:$B$204,MATCH($AE45,$A$5:$A$204,0))&lt;&gt;$B45,FALSE())),COUNTIFS($AE$5:$AE$204,$A45,$W$5:$W$204,1,$B$5:$B$204,"&lt;&gt;"&amp;$B45)&gt;0),ИНФА!$F$31,0),0))</f>
        <v/>
      </c>
    </row>
    <row r="46" customFormat="false" ht="15" hidden="false" customHeight="false" outlineLevel="0" collapsed="false">
      <c r="A46" s="15" t="n">
        <v>42</v>
      </c>
      <c r="B46" s="44"/>
      <c r="C46" s="44"/>
      <c r="D46" s="44"/>
      <c r="E46" s="44"/>
      <c r="F46" s="43"/>
      <c r="G46" s="38" t="str">
        <f aca="false">IF($C46="","",IF($F46&lt;&gt;"",$F46,INDEX(ИНФА!$M$5:$M$19,MATCH($C46,ИНФА!$I$5:$I$19,0))))</f>
        <v/>
      </c>
      <c r="H46" s="43"/>
      <c r="I46" s="38" t="str">
        <f aca="false">IF($C46="","",G46-N(H46))</f>
        <v/>
      </c>
      <c r="J46" s="37" t="str">
        <f aca="false">IF($C46="","",INDEX(ИНФА!$J$5:$J$19,MATCH($C46,ИНФА!$I$5:$I$19,0)))</f>
        <v/>
      </c>
      <c r="K46" s="37" t="str">
        <f aca="false">IF($C46="","",INDEX(ИНФА!$K$5:$K$19,MATCH($C46,ИНФА!$I$5:$I$19,0)))</f>
        <v/>
      </c>
      <c r="L46" s="38" t="str">
        <f aca="false">IF($C46="","",INDEX(ИНФА!$O$5:$O$19,MATCH($C46,ИНФА!$I$5:$I$19,0)))</f>
        <v/>
      </c>
      <c r="M46" s="38" t="str">
        <f aca="false">IF($C46="","",INDEX(ИНФА!$P$5:$P$19,MATCH($C46,ИНФА!$I$5:$I$19,0)))</f>
        <v/>
      </c>
      <c r="N46" s="44"/>
      <c r="O46" s="48" t="n">
        <f aca="false">IF(OR($C46="",$N46=""),1,IF(AND($J46="Услуги",IFERROR(INDEX($C$5:$C$204,MATCH($N46,$A$5:$A$204,0))=INDEX(ИНФА!$L$5:$L$19,MATCH($C46,ИНФА!$I$5:$I$19,0)),FALSE()),IFERROR(INDEX($W$5:$W$204,MATCH($N46,$A$5:$A$204,0))=1,FALSE()),COUNTIF($N$5:$N46,$N46)&lt;=ИНФА!$F$16),1+ИНФА!$F$15,1))</f>
        <v>1</v>
      </c>
      <c r="P46" s="47" t="str">
        <f aca="false">IF($C46="","",IF($J46&lt;&gt;"Услуги","",IF($N46="","нет поставщика — нужен "&amp;INDEX(ИНФА!$L$5:$L$19,MATCH($C46,ИНФА!$I$5:$I$19,0)),IF($O46&gt;1,"✓ поставка работает (+50%)",IF(IFERROR(INDEX($C$5:$C$204,MATCH($N46,$A$5:$A$204,0))&lt;&gt;INDEX(ИНФА!$L$5:$L$19,MATCH($C46,ИНФА!$I$5:$I$19,0)),TRUE()),"не тот поставщик: нужен "&amp;INDEX(ИНФА!$L$5:$L$19,MATCH($C46,ИНФА!$I$5:$I$19,0)),IF(COUNTIF($N$5:$N46,$N46)&gt;ИНФА!$F$16,"поставщик перегружен","поставщик ещё не работает или продан"))))))</f>
        <v/>
      </c>
      <c r="Q46" s="44"/>
      <c r="R46" s="48" t="str">
        <f aca="false">IF($C46="","",IF($Q46="",1,IFERROR(INDEX(НАУКА!$K$5:$K$44,MATCH($Q46,НАУКА!$A$5:$A$44,0)),1)))</f>
        <v/>
      </c>
      <c r="S46" s="37" t="str">
        <f aca="false">IF($Q46="","",IFERROR(INDEX(НАУКА!$G$5:$G$44,MATCH($Q46,НАУКА!$A$5:$A$44,0)),""))</f>
        <v/>
      </c>
      <c r="T46" s="44"/>
      <c r="U46" s="44"/>
      <c r="V46" s="43"/>
      <c r="W46" s="37" t="n">
        <f aca="false">IF(OR($C46="",$D46=""),0,IF(AND($D46&lt;ИНФА!$F$5,OR($T46="",$T46&gt;=ИНФА!$F$5)),1,0))</f>
        <v>0</v>
      </c>
      <c r="X46" s="46" t="str">
        <f aca="false">IF($C46="","",INDEX(СОБЫТИЯ!$B$5:$K$8,MATCH($K46,СОБЫТИЯ!$A$5:$A$8,0),ИНФА!$F$5))</f>
        <v/>
      </c>
      <c r="Y46" s="42" t="str">
        <f aca="false">IF($C46="","",IF($W46=1,ROUND($L46*$O46*IF(AND($Q46&lt;&gt;"",$S46&lt;&gt;""),IF($S46&lt;ИНФА!$F$5,$R46,1),1)*$X46,0)-$M46+N($AF46)+N($AG46),0))</f>
        <v/>
      </c>
      <c r="Z46" s="38" t="str">
        <f aca="false">IF($C46="","",IF($T46="",INDEX(ИНФА!$M$5:$M$19,MATCH($C46,ИНФА!$I$5:$I$19,0)),0))</f>
        <v/>
      </c>
      <c r="AA46" s="38" t="str">
        <f aca="false">IF(OR($C46="",$T46=""),"",IF($V46&lt;&gt;"",$V46,INDEX(ИНФА!$N$5:$N$19,MATCH($C46,ИНФА!$I$5:$I$19,0))))</f>
        <v/>
      </c>
      <c r="AB46" s="37" t="str">
        <f aca="false">IF($C46="","",IF($T46&lt;&gt;"",IF($U46&lt;&gt;"","продано компании "&amp;$U46&amp;" в цикле "&amp;$T46,"продано Инфраструктуре в цикле "&amp;$T46),IF($D46&gt;=ИНФА!$F$5,"доход со следующего цикла","приносит доход")))</f>
        <v/>
      </c>
      <c r="AC46" s="47" t="str">
        <f aca="false">IF($C46="","",IF($F46="","",IF($E46="","укажите продавца; ",IF(OR($F46&lt;INDEX(ИНФА!$N$5:$N$19,MATCH($C46,ИНФА!$I$5:$I$19,0)),$F46&gt;INDEX(ИНФА!$M$5:$M$19,MATCH($C46,ИНФА!$I$5:$I$19,0))),"цена покупки вне коридора! ","")))&amp;IF($U46="","",IF(OR($V46="",$T46=""),"укажите цикл и цену продажи; ",IF(OR($V46&lt;INDEX(ИНФА!$N$5:$N$19,MATCH($C46,ИНФА!$I$5:$I$19,0)),$V46&gt;INDEX(ИНФА!$M$5:$M$19,MATCH($C46,ИНФА!$I$5:$I$19,0))),"цена продажи вне коридора! ","")))&amp;IF(AND($T46="",COUNTIFS($C$5:$C46,$C46,$T$5:$T46,"")&gt;INDEX(ИНФА!$Q$5:$Q$19,MATCH($C46,ИНФА!$I$5:$I$19,0))),"лотов нет! ","")&amp;IF(AND($E46&lt;&gt;"",$F46=""),"укажите цену сделки; ","")&amp;IF(AND(N($H46)&gt;0,OR($AD46="",$AD46="Профессия"),OR($H46&gt;ИНФА!$F$29,$I46&lt;INDEX(ИНФА!$N$5:$N$19,MATCH($C46,ИНФА!$I$5:$I$19,0))+ИНФА!$F$30)),"скидка больше лимита или цена ниже выкупа + 500! ","")&amp;IF($AE46="","",IF(IFERROR(INDEX($B$5:$B$204,MATCH($AE46,$A$5:$A$204,0))=$B46,TRUE()),"бизнес-пара — только со зданием другой компании; ",""))&amp;IF($Q46="","",IF(IFERROR(INDEX(НАУКА!$B$5:$B$44,MATCH($Q46,НАУКА!$A$5:$A$44,0))&lt;&gt;$B46,FALSE()),"патент другой компании — нужна лицензия или соглашение; ","")))</f>
        <v/>
      </c>
      <c r="AD46" s="44"/>
      <c r="AE46" s="44"/>
      <c r="AF46" s="38" t="str">
        <f aca="false">IF($C46="","",IF(AND($W46=1,OR($C46="Дом",$C46="Кафе")),ИНФА!$F$17*(COUNTIFS($B$5:$B46,$B46,$C$5:$C46,$C46,$W$5:$W46,1)&lt;=COUNTIFS($B$5:$B$204,$B46,$C$5:$C$204,"Парк",$W$5:$W$204,1)),0))</f>
        <v/>
      </c>
      <c r="AG46" s="38" t="str">
        <f aca="false">IF($C46="","",IF($W46=1,IF(OR(AND($AE46&lt;&gt;"",IFERROR(INDEX($W$5:$W$204,MATCH($AE46,$A$5:$A$204,0))=1,FALSE()),IFERROR(INDEX($B$5:$B$204,MATCH($AE46,$A$5:$A$204,0))&lt;&gt;$B46,FALSE())),COUNTIFS($AE$5:$AE$204,$A46,$W$5:$W$204,1,$B$5:$B$204,"&lt;&gt;"&amp;$B46)&gt;0),ИНФА!$F$31,0),0))</f>
        <v/>
      </c>
    </row>
    <row r="47" customFormat="false" ht="15" hidden="false" customHeight="false" outlineLevel="0" collapsed="false">
      <c r="A47" s="15" t="n">
        <v>43</v>
      </c>
      <c r="B47" s="44"/>
      <c r="C47" s="44"/>
      <c r="D47" s="44"/>
      <c r="E47" s="44"/>
      <c r="F47" s="43"/>
      <c r="G47" s="38" t="str">
        <f aca="false">IF($C47="","",IF($F47&lt;&gt;"",$F47,INDEX(ИНФА!$M$5:$M$19,MATCH($C47,ИНФА!$I$5:$I$19,0))))</f>
        <v/>
      </c>
      <c r="H47" s="43"/>
      <c r="I47" s="38" t="str">
        <f aca="false">IF($C47="","",G47-N(H47))</f>
        <v/>
      </c>
      <c r="J47" s="37" t="str">
        <f aca="false">IF($C47="","",INDEX(ИНФА!$J$5:$J$19,MATCH($C47,ИНФА!$I$5:$I$19,0)))</f>
        <v/>
      </c>
      <c r="K47" s="37" t="str">
        <f aca="false">IF($C47="","",INDEX(ИНФА!$K$5:$K$19,MATCH($C47,ИНФА!$I$5:$I$19,0)))</f>
        <v/>
      </c>
      <c r="L47" s="38" t="str">
        <f aca="false">IF($C47="","",INDEX(ИНФА!$O$5:$O$19,MATCH($C47,ИНФА!$I$5:$I$19,0)))</f>
        <v/>
      </c>
      <c r="M47" s="38" t="str">
        <f aca="false">IF($C47="","",INDEX(ИНФА!$P$5:$P$19,MATCH($C47,ИНФА!$I$5:$I$19,0)))</f>
        <v/>
      </c>
      <c r="N47" s="44"/>
      <c r="O47" s="48" t="n">
        <f aca="false">IF(OR($C47="",$N47=""),1,IF(AND($J47="Услуги",IFERROR(INDEX($C$5:$C$204,MATCH($N47,$A$5:$A$204,0))=INDEX(ИНФА!$L$5:$L$19,MATCH($C47,ИНФА!$I$5:$I$19,0)),FALSE()),IFERROR(INDEX($W$5:$W$204,MATCH($N47,$A$5:$A$204,0))=1,FALSE()),COUNTIF($N$5:$N47,$N47)&lt;=ИНФА!$F$16),1+ИНФА!$F$15,1))</f>
        <v>1</v>
      </c>
      <c r="P47" s="47" t="str">
        <f aca="false">IF($C47="","",IF($J47&lt;&gt;"Услуги","",IF($N47="","нет поставщика — нужен "&amp;INDEX(ИНФА!$L$5:$L$19,MATCH($C47,ИНФА!$I$5:$I$19,0)),IF($O47&gt;1,"✓ поставка работает (+50%)",IF(IFERROR(INDEX($C$5:$C$204,MATCH($N47,$A$5:$A$204,0))&lt;&gt;INDEX(ИНФА!$L$5:$L$19,MATCH($C47,ИНФА!$I$5:$I$19,0)),TRUE()),"не тот поставщик: нужен "&amp;INDEX(ИНФА!$L$5:$L$19,MATCH($C47,ИНФА!$I$5:$I$19,0)),IF(COUNTIF($N$5:$N47,$N47)&gt;ИНФА!$F$16,"поставщик перегружен","поставщик ещё не работает или продан"))))))</f>
        <v/>
      </c>
      <c r="Q47" s="44"/>
      <c r="R47" s="48" t="str">
        <f aca="false">IF($C47="","",IF($Q47="",1,IFERROR(INDEX(НАУКА!$K$5:$K$44,MATCH($Q47,НАУКА!$A$5:$A$44,0)),1)))</f>
        <v/>
      </c>
      <c r="S47" s="37" t="str">
        <f aca="false">IF($Q47="","",IFERROR(INDEX(НАУКА!$G$5:$G$44,MATCH($Q47,НАУКА!$A$5:$A$44,0)),""))</f>
        <v/>
      </c>
      <c r="T47" s="44"/>
      <c r="U47" s="44"/>
      <c r="V47" s="43"/>
      <c r="W47" s="37" t="n">
        <f aca="false">IF(OR($C47="",$D47=""),0,IF(AND($D47&lt;ИНФА!$F$5,OR($T47="",$T47&gt;=ИНФА!$F$5)),1,0))</f>
        <v>0</v>
      </c>
      <c r="X47" s="46" t="str">
        <f aca="false">IF($C47="","",INDEX(СОБЫТИЯ!$B$5:$K$8,MATCH($K47,СОБЫТИЯ!$A$5:$A$8,0),ИНФА!$F$5))</f>
        <v/>
      </c>
      <c r="Y47" s="42" t="str">
        <f aca="false">IF($C47="","",IF($W47=1,ROUND($L47*$O47*IF(AND($Q47&lt;&gt;"",$S47&lt;&gt;""),IF($S47&lt;ИНФА!$F$5,$R47,1),1)*$X47,0)-$M47+N($AF47)+N($AG47),0))</f>
        <v/>
      </c>
      <c r="Z47" s="38" t="str">
        <f aca="false">IF($C47="","",IF($T47="",INDEX(ИНФА!$M$5:$M$19,MATCH($C47,ИНФА!$I$5:$I$19,0)),0))</f>
        <v/>
      </c>
      <c r="AA47" s="38" t="str">
        <f aca="false">IF(OR($C47="",$T47=""),"",IF($V47&lt;&gt;"",$V47,INDEX(ИНФА!$N$5:$N$19,MATCH($C47,ИНФА!$I$5:$I$19,0))))</f>
        <v/>
      </c>
      <c r="AB47" s="37" t="str">
        <f aca="false">IF($C47="","",IF($T47&lt;&gt;"",IF($U47&lt;&gt;"","продано компании "&amp;$U47&amp;" в цикле "&amp;$T47,"продано Инфраструктуре в цикле "&amp;$T47),IF($D47&gt;=ИНФА!$F$5,"доход со следующего цикла","приносит доход")))</f>
        <v/>
      </c>
      <c r="AC47" s="47" t="str">
        <f aca="false">IF($C47="","",IF($F47="","",IF($E47="","укажите продавца; ",IF(OR($F47&lt;INDEX(ИНФА!$N$5:$N$19,MATCH($C47,ИНФА!$I$5:$I$19,0)),$F47&gt;INDEX(ИНФА!$M$5:$M$19,MATCH($C47,ИНФА!$I$5:$I$19,0))),"цена покупки вне коридора! ","")))&amp;IF($U47="","",IF(OR($V47="",$T47=""),"укажите цикл и цену продажи; ",IF(OR($V47&lt;INDEX(ИНФА!$N$5:$N$19,MATCH($C47,ИНФА!$I$5:$I$19,0)),$V47&gt;INDEX(ИНФА!$M$5:$M$19,MATCH($C47,ИНФА!$I$5:$I$19,0))),"цена продажи вне коридора! ","")))&amp;IF(AND($T47="",COUNTIFS($C$5:$C47,$C47,$T$5:$T47,"")&gt;INDEX(ИНФА!$Q$5:$Q$19,MATCH($C47,ИНФА!$I$5:$I$19,0))),"лотов нет! ","")&amp;IF(AND($E47&lt;&gt;"",$F47=""),"укажите цену сделки; ","")&amp;IF(AND(N($H47)&gt;0,OR($AD47="",$AD47="Профессия"),OR($H47&gt;ИНФА!$F$29,$I47&lt;INDEX(ИНФА!$N$5:$N$19,MATCH($C47,ИНФА!$I$5:$I$19,0))+ИНФА!$F$30)),"скидка больше лимита или цена ниже выкупа + 500! ","")&amp;IF($AE47="","",IF(IFERROR(INDEX($B$5:$B$204,MATCH($AE47,$A$5:$A$204,0))=$B47,TRUE()),"бизнес-пара — только со зданием другой компании; ",""))&amp;IF($Q47="","",IF(IFERROR(INDEX(НАУКА!$B$5:$B$44,MATCH($Q47,НАУКА!$A$5:$A$44,0))&lt;&gt;$B47,FALSE()),"патент другой компании — нужна лицензия или соглашение; ","")))</f>
        <v/>
      </c>
      <c r="AD47" s="44"/>
      <c r="AE47" s="44"/>
      <c r="AF47" s="38" t="str">
        <f aca="false">IF($C47="","",IF(AND($W47=1,OR($C47="Дом",$C47="Кафе")),ИНФА!$F$17*(COUNTIFS($B$5:$B47,$B47,$C$5:$C47,$C47,$W$5:$W47,1)&lt;=COUNTIFS($B$5:$B$204,$B47,$C$5:$C$204,"Парк",$W$5:$W$204,1)),0))</f>
        <v/>
      </c>
      <c r="AG47" s="38" t="str">
        <f aca="false">IF($C47="","",IF($W47=1,IF(OR(AND($AE47&lt;&gt;"",IFERROR(INDEX($W$5:$W$204,MATCH($AE47,$A$5:$A$204,0))=1,FALSE()),IFERROR(INDEX($B$5:$B$204,MATCH($AE47,$A$5:$A$204,0))&lt;&gt;$B47,FALSE())),COUNTIFS($AE$5:$AE$204,$A47,$W$5:$W$204,1,$B$5:$B$204,"&lt;&gt;"&amp;$B47)&gt;0),ИНФА!$F$31,0),0))</f>
        <v/>
      </c>
    </row>
    <row r="48" customFormat="false" ht="15" hidden="false" customHeight="false" outlineLevel="0" collapsed="false">
      <c r="A48" s="15" t="n">
        <v>44</v>
      </c>
      <c r="B48" s="44"/>
      <c r="C48" s="44"/>
      <c r="D48" s="44"/>
      <c r="E48" s="44"/>
      <c r="F48" s="43"/>
      <c r="G48" s="38" t="str">
        <f aca="false">IF($C48="","",IF($F48&lt;&gt;"",$F48,INDEX(ИНФА!$M$5:$M$19,MATCH($C48,ИНФА!$I$5:$I$19,0))))</f>
        <v/>
      </c>
      <c r="H48" s="43"/>
      <c r="I48" s="38" t="str">
        <f aca="false">IF($C48="","",G48-N(H48))</f>
        <v/>
      </c>
      <c r="J48" s="37" t="str">
        <f aca="false">IF($C48="","",INDEX(ИНФА!$J$5:$J$19,MATCH($C48,ИНФА!$I$5:$I$19,0)))</f>
        <v/>
      </c>
      <c r="K48" s="37" t="str">
        <f aca="false">IF($C48="","",INDEX(ИНФА!$K$5:$K$19,MATCH($C48,ИНФА!$I$5:$I$19,0)))</f>
        <v/>
      </c>
      <c r="L48" s="38" t="str">
        <f aca="false">IF($C48="","",INDEX(ИНФА!$O$5:$O$19,MATCH($C48,ИНФА!$I$5:$I$19,0)))</f>
        <v/>
      </c>
      <c r="M48" s="38" t="str">
        <f aca="false">IF($C48="","",INDEX(ИНФА!$P$5:$P$19,MATCH($C48,ИНФА!$I$5:$I$19,0)))</f>
        <v/>
      </c>
      <c r="N48" s="44"/>
      <c r="O48" s="48" t="n">
        <f aca="false">IF(OR($C48="",$N48=""),1,IF(AND($J48="Услуги",IFERROR(INDEX($C$5:$C$204,MATCH($N48,$A$5:$A$204,0))=INDEX(ИНФА!$L$5:$L$19,MATCH($C48,ИНФА!$I$5:$I$19,0)),FALSE()),IFERROR(INDEX($W$5:$W$204,MATCH($N48,$A$5:$A$204,0))=1,FALSE()),COUNTIF($N$5:$N48,$N48)&lt;=ИНФА!$F$16),1+ИНФА!$F$15,1))</f>
        <v>1</v>
      </c>
      <c r="P48" s="47" t="str">
        <f aca="false">IF($C48="","",IF($J48&lt;&gt;"Услуги","",IF($N48="","нет поставщика — нужен "&amp;INDEX(ИНФА!$L$5:$L$19,MATCH($C48,ИНФА!$I$5:$I$19,0)),IF($O48&gt;1,"✓ поставка работает (+50%)",IF(IFERROR(INDEX($C$5:$C$204,MATCH($N48,$A$5:$A$204,0))&lt;&gt;INDEX(ИНФА!$L$5:$L$19,MATCH($C48,ИНФА!$I$5:$I$19,0)),TRUE()),"не тот поставщик: нужен "&amp;INDEX(ИНФА!$L$5:$L$19,MATCH($C48,ИНФА!$I$5:$I$19,0)),IF(COUNTIF($N$5:$N48,$N48)&gt;ИНФА!$F$16,"поставщик перегружен","поставщик ещё не работает или продан"))))))</f>
        <v/>
      </c>
      <c r="Q48" s="44"/>
      <c r="R48" s="48" t="str">
        <f aca="false">IF($C48="","",IF($Q48="",1,IFERROR(INDEX(НАУКА!$K$5:$K$44,MATCH($Q48,НАУКА!$A$5:$A$44,0)),1)))</f>
        <v/>
      </c>
      <c r="S48" s="37" t="str">
        <f aca="false">IF($Q48="","",IFERROR(INDEX(НАУКА!$G$5:$G$44,MATCH($Q48,НАУКА!$A$5:$A$44,0)),""))</f>
        <v/>
      </c>
      <c r="T48" s="44"/>
      <c r="U48" s="44"/>
      <c r="V48" s="43"/>
      <c r="W48" s="37" t="n">
        <f aca="false">IF(OR($C48="",$D48=""),0,IF(AND($D48&lt;ИНФА!$F$5,OR($T48="",$T48&gt;=ИНФА!$F$5)),1,0))</f>
        <v>0</v>
      </c>
      <c r="X48" s="46" t="str">
        <f aca="false">IF($C48="","",INDEX(СОБЫТИЯ!$B$5:$K$8,MATCH($K48,СОБЫТИЯ!$A$5:$A$8,0),ИНФА!$F$5))</f>
        <v/>
      </c>
      <c r="Y48" s="42" t="str">
        <f aca="false">IF($C48="","",IF($W48=1,ROUND($L48*$O48*IF(AND($Q48&lt;&gt;"",$S48&lt;&gt;""),IF($S48&lt;ИНФА!$F$5,$R48,1),1)*$X48,0)-$M48+N($AF48)+N($AG48),0))</f>
        <v/>
      </c>
      <c r="Z48" s="38" t="str">
        <f aca="false">IF($C48="","",IF($T48="",INDEX(ИНФА!$M$5:$M$19,MATCH($C48,ИНФА!$I$5:$I$19,0)),0))</f>
        <v/>
      </c>
      <c r="AA48" s="38" t="str">
        <f aca="false">IF(OR($C48="",$T48=""),"",IF($V48&lt;&gt;"",$V48,INDEX(ИНФА!$N$5:$N$19,MATCH($C48,ИНФА!$I$5:$I$19,0))))</f>
        <v/>
      </c>
      <c r="AB48" s="37" t="str">
        <f aca="false">IF($C48="","",IF($T48&lt;&gt;"",IF($U48&lt;&gt;"","продано компании "&amp;$U48&amp;" в цикле "&amp;$T48,"продано Инфраструктуре в цикле "&amp;$T48),IF($D48&gt;=ИНФА!$F$5,"доход со следующего цикла","приносит доход")))</f>
        <v/>
      </c>
      <c r="AC48" s="47" t="str">
        <f aca="false">IF($C48="","",IF($F48="","",IF($E48="","укажите продавца; ",IF(OR($F48&lt;INDEX(ИНФА!$N$5:$N$19,MATCH($C48,ИНФА!$I$5:$I$19,0)),$F48&gt;INDEX(ИНФА!$M$5:$M$19,MATCH($C48,ИНФА!$I$5:$I$19,0))),"цена покупки вне коридора! ","")))&amp;IF($U48="","",IF(OR($V48="",$T48=""),"укажите цикл и цену продажи; ",IF(OR($V48&lt;INDEX(ИНФА!$N$5:$N$19,MATCH($C48,ИНФА!$I$5:$I$19,0)),$V48&gt;INDEX(ИНФА!$M$5:$M$19,MATCH($C48,ИНФА!$I$5:$I$19,0))),"цена продажи вне коридора! ","")))&amp;IF(AND($T48="",COUNTIFS($C$5:$C48,$C48,$T$5:$T48,"")&gt;INDEX(ИНФА!$Q$5:$Q$19,MATCH($C48,ИНФА!$I$5:$I$19,0))),"лотов нет! ","")&amp;IF(AND($E48&lt;&gt;"",$F48=""),"укажите цену сделки; ","")&amp;IF(AND(N($H48)&gt;0,OR($AD48="",$AD48="Профессия"),OR($H48&gt;ИНФА!$F$29,$I48&lt;INDEX(ИНФА!$N$5:$N$19,MATCH($C48,ИНФА!$I$5:$I$19,0))+ИНФА!$F$30)),"скидка больше лимита или цена ниже выкупа + 500! ","")&amp;IF($AE48="","",IF(IFERROR(INDEX($B$5:$B$204,MATCH($AE48,$A$5:$A$204,0))=$B48,TRUE()),"бизнес-пара — только со зданием другой компании; ",""))&amp;IF($Q48="","",IF(IFERROR(INDEX(НАУКА!$B$5:$B$44,MATCH($Q48,НАУКА!$A$5:$A$44,0))&lt;&gt;$B48,FALSE()),"патент другой компании — нужна лицензия или соглашение; ","")))</f>
        <v/>
      </c>
      <c r="AD48" s="44"/>
      <c r="AE48" s="44"/>
      <c r="AF48" s="38" t="str">
        <f aca="false">IF($C48="","",IF(AND($W48=1,OR($C48="Дом",$C48="Кафе")),ИНФА!$F$17*(COUNTIFS($B$5:$B48,$B48,$C$5:$C48,$C48,$W$5:$W48,1)&lt;=COUNTIFS($B$5:$B$204,$B48,$C$5:$C$204,"Парк",$W$5:$W$204,1)),0))</f>
        <v/>
      </c>
      <c r="AG48" s="38" t="str">
        <f aca="false">IF($C48="","",IF($W48=1,IF(OR(AND($AE48&lt;&gt;"",IFERROR(INDEX($W$5:$W$204,MATCH($AE48,$A$5:$A$204,0))=1,FALSE()),IFERROR(INDEX($B$5:$B$204,MATCH($AE48,$A$5:$A$204,0))&lt;&gt;$B48,FALSE())),COUNTIFS($AE$5:$AE$204,$A48,$W$5:$W$204,1,$B$5:$B$204,"&lt;&gt;"&amp;$B48)&gt;0),ИНФА!$F$31,0),0))</f>
        <v/>
      </c>
    </row>
    <row r="49" customFormat="false" ht="15" hidden="false" customHeight="false" outlineLevel="0" collapsed="false">
      <c r="A49" s="15" t="n">
        <v>45</v>
      </c>
      <c r="B49" s="44"/>
      <c r="C49" s="44"/>
      <c r="D49" s="44"/>
      <c r="E49" s="44"/>
      <c r="F49" s="43"/>
      <c r="G49" s="38" t="str">
        <f aca="false">IF($C49="","",IF($F49&lt;&gt;"",$F49,INDEX(ИНФА!$M$5:$M$19,MATCH($C49,ИНФА!$I$5:$I$19,0))))</f>
        <v/>
      </c>
      <c r="H49" s="43"/>
      <c r="I49" s="38" t="str">
        <f aca="false">IF($C49="","",G49-N(H49))</f>
        <v/>
      </c>
      <c r="J49" s="37" t="str">
        <f aca="false">IF($C49="","",INDEX(ИНФА!$J$5:$J$19,MATCH($C49,ИНФА!$I$5:$I$19,0)))</f>
        <v/>
      </c>
      <c r="K49" s="37" t="str">
        <f aca="false">IF($C49="","",INDEX(ИНФА!$K$5:$K$19,MATCH($C49,ИНФА!$I$5:$I$19,0)))</f>
        <v/>
      </c>
      <c r="L49" s="38" t="str">
        <f aca="false">IF($C49="","",INDEX(ИНФА!$O$5:$O$19,MATCH($C49,ИНФА!$I$5:$I$19,0)))</f>
        <v/>
      </c>
      <c r="M49" s="38" t="str">
        <f aca="false">IF($C49="","",INDEX(ИНФА!$P$5:$P$19,MATCH($C49,ИНФА!$I$5:$I$19,0)))</f>
        <v/>
      </c>
      <c r="N49" s="44"/>
      <c r="O49" s="48" t="n">
        <f aca="false">IF(OR($C49="",$N49=""),1,IF(AND($J49="Услуги",IFERROR(INDEX($C$5:$C$204,MATCH($N49,$A$5:$A$204,0))=INDEX(ИНФА!$L$5:$L$19,MATCH($C49,ИНФА!$I$5:$I$19,0)),FALSE()),IFERROR(INDEX($W$5:$W$204,MATCH($N49,$A$5:$A$204,0))=1,FALSE()),COUNTIF($N$5:$N49,$N49)&lt;=ИНФА!$F$16),1+ИНФА!$F$15,1))</f>
        <v>1</v>
      </c>
      <c r="P49" s="47" t="str">
        <f aca="false">IF($C49="","",IF($J49&lt;&gt;"Услуги","",IF($N49="","нет поставщика — нужен "&amp;INDEX(ИНФА!$L$5:$L$19,MATCH($C49,ИНФА!$I$5:$I$19,0)),IF($O49&gt;1,"✓ поставка работает (+50%)",IF(IFERROR(INDEX($C$5:$C$204,MATCH($N49,$A$5:$A$204,0))&lt;&gt;INDEX(ИНФА!$L$5:$L$19,MATCH($C49,ИНФА!$I$5:$I$19,0)),TRUE()),"не тот поставщик: нужен "&amp;INDEX(ИНФА!$L$5:$L$19,MATCH($C49,ИНФА!$I$5:$I$19,0)),IF(COUNTIF($N$5:$N49,$N49)&gt;ИНФА!$F$16,"поставщик перегружен","поставщик ещё не работает или продан"))))))</f>
        <v/>
      </c>
      <c r="Q49" s="44"/>
      <c r="R49" s="48" t="str">
        <f aca="false">IF($C49="","",IF($Q49="",1,IFERROR(INDEX(НАУКА!$K$5:$K$44,MATCH($Q49,НАУКА!$A$5:$A$44,0)),1)))</f>
        <v/>
      </c>
      <c r="S49" s="37" t="str">
        <f aca="false">IF($Q49="","",IFERROR(INDEX(НАУКА!$G$5:$G$44,MATCH($Q49,НАУКА!$A$5:$A$44,0)),""))</f>
        <v/>
      </c>
      <c r="T49" s="44"/>
      <c r="U49" s="44"/>
      <c r="V49" s="43"/>
      <c r="W49" s="37" t="n">
        <f aca="false">IF(OR($C49="",$D49=""),0,IF(AND($D49&lt;ИНФА!$F$5,OR($T49="",$T49&gt;=ИНФА!$F$5)),1,0))</f>
        <v>0</v>
      </c>
      <c r="X49" s="46" t="str">
        <f aca="false">IF($C49="","",INDEX(СОБЫТИЯ!$B$5:$K$8,MATCH($K49,СОБЫТИЯ!$A$5:$A$8,0),ИНФА!$F$5))</f>
        <v/>
      </c>
      <c r="Y49" s="42" t="str">
        <f aca="false">IF($C49="","",IF($W49=1,ROUND($L49*$O49*IF(AND($Q49&lt;&gt;"",$S49&lt;&gt;""),IF($S49&lt;ИНФА!$F$5,$R49,1),1)*$X49,0)-$M49+N($AF49)+N($AG49),0))</f>
        <v/>
      </c>
      <c r="Z49" s="38" t="str">
        <f aca="false">IF($C49="","",IF($T49="",INDEX(ИНФА!$M$5:$M$19,MATCH($C49,ИНФА!$I$5:$I$19,0)),0))</f>
        <v/>
      </c>
      <c r="AA49" s="38" t="str">
        <f aca="false">IF(OR($C49="",$T49=""),"",IF($V49&lt;&gt;"",$V49,INDEX(ИНФА!$N$5:$N$19,MATCH($C49,ИНФА!$I$5:$I$19,0))))</f>
        <v/>
      </c>
      <c r="AB49" s="37" t="str">
        <f aca="false">IF($C49="","",IF($T49&lt;&gt;"",IF($U49&lt;&gt;"","продано компании "&amp;$U49&amp;" в цикле "&amp;$T49,"продано Инфраструктуре в цикле "&amp;$T49),IF($D49&gt;=ИНФА!$F$5,"доход со следующего цикла","приносит доход")))</f>
        <v/>
      </c>
      <c r="AC49" s="47" t="str">
        <f aca="false">IF($C49="","",IF($F49="","",IF($E49="","укажите продавца; ",IF(OR($F49&lt;INDEX(ИНФА!$N$5:$N$19,MATCH($C49,ИНФА!$I$5:$I$19,0)),$F49&gt;INDEX(ИНФА!$M$5:$M$19,MATCH($C49,ИНФА!$I$5:$I$19,0))),"цена покупки вне коридора! ","")))&amp;IF($U49="","",IF(OR($V49="",$T49=""),"укажите цикл и цену продажи; ",IF(OR($V49&lt;INDEX(ИНФА!$N$5:$N$19,MATCH($C49,ИНФА!$I$5:$I$19,0)),$V49&gt;INDEX(ИНФА!$M$5:$M$19,MATCH($C49,ИНФА!$I$5:$I$19,0))),"цена продажи вне коридора! ","")))&amp;IF(AND($T49="",COUNTIFS($C$5:$C49,$C49,$T$5:$T49,"")&gt;INDEX(ИНФА!$Q$5:$Q$19,MATCH($C49,ИНФА!$I$5:$I$19,0))),"лотов нет! ","")&amp;IF(AND($E49&lt;&gt;"",$F49=""),"укажите цену сделки; ","")&amp;IF(AND(N($H49)&gt;0,OR($AD49="",$AD49="Профессия"),OR($H49&gt;ИНФА!$F$29,$I49&lt;INDEX(ИНФА!$N$5:$N$19,MATCH($C49,ИНФА!$I$5:$I$19,0))+ИНФА!$F$30)),"скидка больше лимита или цена ниже выкупа + 500! ","")&amp;IF($AE49="","",IF(IFERROR(INDEX($B$5:$B$204,MATCH($AE49,$A$5:$A$204,0))=$B49,TRUE()),"бизнес-пара — только со зданием другой компании; ",""))&amp;IF($Q49="","",IF(IFERROR(INDEX(НАУКА!$B$5:$B$44,MATCH($Q49,НАУКА!$A$5:$A$44,0))&lt;&gt;$B49,FALSE()),"патент другой компании — нужна лицензия или соглашение; ","")))</f>
        <v/>
      </c>
      <c r="AD49" s="44"/>
      <c r="AE49" s="44"/>
      <c r="AF49" s="38" t="str">
        <f aca="false">IF($C49="","",IF(AND($W49=1,OR($C49="Дом",$C49="Кафе")),ИНФА!$F$17*(COUNTIFS($B$5:$B49,$B49,$C$5:$C49,$C49,$W$5:$W49,1)&lt;=COUNTIFS($B$5:$B$204,$B49,$C$5:$C$204,"Парк",$W$5:$W$204,1)),0))</f>
        <v/>
      </c>
      <c r="AG49" s="38" t="str">
        <f aca="false">IF($C49="","",IF($W49=1,IF(OR(AND($AE49&lt;&gt;"",IFERROR(INDEX($W$5:$W$204,MATCH($AE49,$A$5:$A$204,0))=1,FALSE()),IFERROR(INDEX($B$5:$B$204,MATCH($AE49,$A$5:$A$204,0))&lt;&gt;$B49,FALSE())),COUNTIFS($AE$5:$AE$204,$A49,$W$5:$W$204,1,$B$5:$B$204,"&lt;&gt;"&amp;$B49)&gt;0),ИНФА!$F$31,0),0))</f>
        <v/>
      </c>
    </row>
    <row r="50" customFormat="false" ht="15" hidden="false" customHeight="false" outlineLevel="0" collapsed="false">
      <c r="A50" s="15" t="n">
        <v>46</v>
      </c>
      <c r="B50" s="44"/>
      <c r="C50" s="44"/>
      <c r="D50" s="44"/>
      <c r="E50" s="44"/>
      <c r="F50" s="43"/>
      <c r="G50" s="38" t="str">
        <f aca="false">IF($C50="","",IF($F50&lt;&gt;"",$F50,INDEX(ИНФА!$M$5:$M$19,MATCH($C50,ИНФА!$I$5:$I$19,0))))</f>
        <v/>
      </c>
      <c r="H50" s="43"/>
      <c r="I50" s="38" t="str">
        <f aca="false">IF($C50="","",G50-N(H50))</f>
        <v/>
      </c>
      <c r="J50" s="37" t="str">
        <f aca="false">IF($C50="","",INDEX(ИНФА!$J$5:$J$19,MATCH($C50,ИНФА!$I$5:$I$19,0)))</f>
        <v/>
      </c>
      <c r="K50" s="37" t="str">
        <f aca="false">IF($C50="","",INDEX(ИНФА!$K$5:$K$19,MATCH($C50,ИНФА!$I$5:$I$19,0)))</f>
        <v/>
      </c>
      <c r="L50" s="38" t="str">
        <f aca="false">IF($C50="","",INDEX(ИНФА!$O$5:$O$19,MATCH($C50,ИНФА!$I$5:$I$19,0)))</f>
        <v/>
      </c>
      <c r="M50" s="38" t="str">
        <f aca="false">IF($C50="","",INDEX(ИНФА!$P$5:$P$19,MATCH($C50,ИНФА!$I$5:$I$19,0)))</f>
        <v/>
      </c>
      <c r="N50" s="44"/>
      <c r="O50" s="48" t="n">
        <f aca="false">IF(OR($C50="",$N50=""),1,IF(AND($J50="Услуги",IFERROR(INDEX($C$5:$C$204,MATCH($N50,$A$5:$A$204,0))=INDEX(ИНФА!$L$5:$L$19,MATCH($C50,ИНФА!$I$5:$I$19,0)),FALSE()),IFERROR(INDEX($W$5:$W$204,MATCH($N50,$A$5:$A$204,0))=1,FALSE()),COUNTIF($N$5:$N50,$N50)&lt;=ИНФА!$F$16),1+ИНФА!$F$15,1))</f>
        <v>1</v>
      </c>
      <c r="P50" s="47" t="str">
        <f aca="false">IF($C50="","",IF($J50&lt;&gt;"Услуги","",IF($N50="","нет поставщика — нужен "&amp;INDEX(ИНФА!$L$5:$L$19,MATCH($C50,ИНФА!$I$5:$I$19,0)),IF($O50&gt;1,"✓ поставка работает (+50%)",IF(IFERROR(INDEX($C$5:$C$204,MATCH($N50,$A$5:$A$204,0))&lt;&gt;INDEX(ИНФА!$L$5:$L$19,MATCH($C50,ИНФА!$I$5:$I$19,0)),TRUE()),"не тот поставщик: нужен "&amp;INDEX(ИНФА!$L$5:$L$19,MATCH($C50,ИНФА!$I$5:$I$19,0)),IF(COUNTIF($N$5:$N50,$N50)&gt;ИНФА!$F$16,"поставщик перегружен","поставщик ещё не работает или продан"))))))</f>
        <v/>
      </c>
      <c r="Q50" s="44"/>
      <c r="R50" s="48" t="str">
        <f aca="false">IF($C50="","",IF($Q50="",1,IFERROR(INDEX(НАУКА!$K$5:$K$44,MATCH($Q50,НАУКА!$A$5:$A$44,0)),1)))</f>
        <v/>
      </c>
      <c r="S50" s="37" t="str">
        <f aca="false">IF($Q50="","",IFERROR(INDEX(НАУКА!$G$5:$G$44,MATCH($Q50,НАУКА!$A$5:$A$44,0)),""))</f>
        <v/>
      </c>
      <c r="T50" s="44"/>
      <c r="U50" s="44"/>
      <c r="V50" s="43"/>
      <c r="W50" s="37" t="n">
        <f aca="false">IF(OR($C50="",$D50=""),0,IF(AND($D50&lt;ИНФА!$F$5,OR($T50="",$T50&gt;=ИНФА!$F$5)),1,0))</f>
        <v>0</v>
      </c>
      <c r="X50" s="46" t="str">
        <f aca="false">IF($C50="","",INDEX(СОБЫТИЯ!$B$5:$K$8,MATCH($K50,СОБЫТИЯ!$A$5:$A$8,0),ИНФА!$F$5))</f>
        <v/>
      </c>
      <c r="Y50" s="42" t="str">
        <f aca="false">IF($C50="","",IF($W50=1,ROUND($L50*$O50*IF(AND($Q50&lt;&gt;"",$S50&lt;&gt;""),IF($S50&lt;ИНФА!$F$5,$R50,1),1)*$X50,0)-$M50+N($AF50)+N($AG50),0))</f>
        <v/>
      </c>
      <c r="Z50" s="38" t="str">
        <f aca="false">IF($C50="","",IF($T50="",INDEX(ИНФА!$M$5:$M$19,MATCH($C50,ИНФА!$I$5:$I$19,0)),0))</f>
        <v/>
      </c>
      <c r="AA50" s="38" t="str">
        <f aca="false">IF(OR($C50="",$T50=""),"",IF($V50&lt;&gt;"",$V50,INDEX(ИНФА!$N$5:$N$19,MATCH($C50,ИНФА!$I$5:$I$19,0))))</f>
        <v/>
      </c>
      <c r="AB50" s="37" t="str">
        <f aca="false">IF($C50="","",IF($T50&lt;&gt;"",IF($U50&lt;&gt;"","продано компании "&amp;$U50&amp;" в цикле "&amp;$T50,"продано Инфраструктуре в цикле "&amp;$T50),IF($D50&gt;=ИНФА!$F$5,"доход со следующего цикла","приносит доход")))</f>
        <v/>
      </c>
      <c r="AC50" s="47" t="str">
        <f aca="false">IF($C50="","",IF($F50="","",IF($E50="","укажите продавца; ",IF(OR($F50&lt;INDEX(ИНФА!$N$5:$N$19,MATCH($C50,ИНФА!$I$5:$I$19,0)),$F50&gt;INDEX(ИНФА!$M$5:$M$19,MATCH($C50,ИНФА!$I$5:$I$19,0))),"цена покупки вне коридора! ","")))&amp;IF($U50="","",IF(OR($V50="",$T50=""),"укажите цикл и цену продажи; ",IF(OR($V50&lt;INDEX(ИНФА!$N$5:$N$19,MATCH($C50,ИНФА!$I$5:$I$19,0)),$V50&gt;INDEX(ИНФА!$M$5:$M$19,MATCH($C50,ИНФА!$I$5:$I$19,0))),"цена продажи вне коридора! ","")))&amp;IF(AND($T50="",COUNTIFS($C$5:$C50,$C50,$T$5:$T50,"")&gt;INDEX(ИНФА!$Q$5:$Q$19,MATCH($C50,ИНФА!$I$5:$I$19,0))),"лотов нет! ","")&amp;IF(AND($E50&lt;&gt;"",$F50=""),"укажите цену сделки; ","")&amp;IF(AND(N($H50)&gt;0,OR($AD50="",$AD50="Профессия"),OR($H50&gt;ИНФА!$F$29,$I50&lt;INDEX(ИНФА!$N$5:$N$19,MATCH($C50,ИНФА!$I$5:$I$19,0))+ИНФА!$F$30)),"скидка больше лимита или цена ниже выкупа + 500! ","")&amp;IF($AE50="","",IF(IFERROR(INDEX($B$5:$B$204,MATCH($AE50,$A$5:$A$204,0))=$B50,TRUE()),"бизнес-пара — только со зданием другой компании; ",""))&amp;IF($Q50="","",IF(IFERROR(INDEX(НАУКА!$B$5:$B$44,MATCH($Q50,НАУКА!$A$5:$A$44,0))&lt;&gt;$B50,FALSE()),"патент другой компании — нужна лицензия или соглашение; ","")))</f>
        <v/>
      </c>
      <c r="AD50" s="44"/>
      <c r="AE50" s="44"/>
      <c r="AF50" s="38" t="str">
        <f aca="false">IF($C50="","",IF(AND($W50=1,OR($C50="Дом",$C50="Кафе")),ИНФА!$F$17*(COUNTIFS($B$5:$B50,$B50,$C$5:$C50,$C50,$W$5:$W50,1)&lt;=COUNTIFS($B$5:$B$204,$B50,$C$5:$C$204,"Парк",$W$5:$W$204,1)),0))</f>
        <v/>
      </c>
      <c r="AG50" s="38" t="str">
        <f aca="false">IF($C50="","",IF($W50=1,IF(OR(AND($AE50&lt;&gt;"",IFERROR(INDEX($W$5:$W$204,MATCH($AE50,$A$5:$A$204,0))=1,FALSE()),IFERROR(INDEX($B$5:$B$204,MATCH($AE50,$A$5:$A$204,0))&lt;&gt;$B50,FALSE())),COUNTIFS($AE$5:$AE$204,$A50,$W$5:$W$204,1,$B$5:$B$204,"&lt;&gt;"&amp;$B50)&gt;0),ИНФА!$F$31,0),0))</f>
        <v/>
      </c>
    </row>
    <row r="51" customFormat="false" ht="15" hidden="false" customHeight="false" outlineLevel="0" collapsed="false">
      <c r="A51" s="15" t="n">
        <v>47</v>
      </c>
      <c r="B51" s="44"/>
      <c r="C51" s="44"/>
      <c r="D51" s="44"/>
      <c r="E51" s="44"/>
      <c r="F51" s="43"/>
      <c r="G51" s="38" t="str">
        <f aca="false">IF($C51="","",IF($F51&lt;&gt;"",$F51,INDEX(ИНФА!$M$5:$M$19,MATCH($C51,ИНФА!$I$5:$I$19,0))))</f>
        <v/>
      </c>
      <c r="H51" s="43"/>
      <c r="I51" s="38" t="str">
        <f aca="false">IF($C51="","",G51-N(H51))</f>
        <v/>
      </c>
      <c r="J51" s="37" t="str">
        <f aca="false">IF($C51="","",INDEX(ИНФА!$J$5:$J$19,MATCH($C51,ИНФА!$I$5:$I$19,0)))</f>
        <v/>
      </c>
      <c r="K51" s="37" t="str">
        <f aca="false">IF($C51="","",INDEX(ИНФА!$K$5:$K$19,MATCH($C51,ИНФА!$I$5:$I$19,0)))</f>
        <v/>
      </c>
      <c r="L51" s="38" t="str">
        <f aca="false">IF($C51="","",INDEX(ИНФА!$O$5:$O$19,MATCH($C51,ИНФА!$I$5:$I$19,0)))</f>
        <v/>
      </c>
      <c r="M51" s="38" t="str">
        <f aca="false">IF($C51="","",INDEX(ИНФА!$P$5:$P$19,MATCH($C51,ИНФА!$I$5:$I$19,0)))</f>
        <v/>
      </c>
      <c r="N51" s="44"/>
      <c r="O51" s="48" t="n">
        <f aca="false">IF(OR($C51="",$N51=""),1,IF(AND($J51="Услуги",IFERROR(INDEX($C$5:$C$204,MATCH($N51,$A$5:$A$204,0))=INDEX(ИНФА!$L$5:$L$19,MATCH($C51,ИНФА!$I$5:$I$19,0)),FALSE()),IFERROR(INDEX($W$5:$W$204,MATCH($N51,$A$5:$A$204,0))=1,FALSE()),COUNTIF($N$5:$N51,$N51)&lt;=ИНФА!$F$16),1+ИНФА!$F$15,1))</f>
        <v>1</v>
      </c>
      <c r="P51" s="47" t="str">
        <f aca="false">IF($C51="","",IF($J51&lt;&gt;"Услуги","",IF($N51="","нет поставщика — нужен "&amp;INDEX(ИНФА!$L$5:$L$19,MATCH($C51,ИНФА!$I$5:$I$19,0)),IF($O51&gt;1,"✓ поставка работает (+50%)",IF(IFERROR(INDEX($C$5:$C$204,MATCH($N51,$A$5:$A$204,0))&lt;&gt;INDEX(ИНФА!$L$5:$L$19,MATCH($C51,ИНФА!$I$5:$I$19,0)),TRUE()),"не тот поставщик: нужен "&amp;INDEX(ИНФА!$L$5:$L$19,MATCH($C51,ИНФА!$I$5:$I$19,0)),IF(COUNTIF($N$5:$N51,$N51)&gt;ИНФА!$F$16,"поставщик перегружен","поставщик ещё не работает или продан"))))))</f>
        <v/>
      </c>
      <c r="Q51" s="44"/>
      <c r="R51" s="48" t="str">
        <f aca="false">IF($C51="","",IF($Q51="",1,IFERROR(INDEX(НАУКА!$K$5:$K$44,MATCH($Q51,НАУКА!$A$5:$A$44,0)),1)))</f>
        <v/>
      </c>
      <c r="S51" s="37" t="str">
        <f aca="false">IF($Q51="","",IFERROR(INDEX(НАУКА!$G$5:$G$44,MATCH($Q51,НАУКА!$A$5:$A$44,0)),""))</f>
        <v/>
      </c>
      <c r="T51" s="44"/>
      <c r="U51" s="44"/>
      <c r="V51" s="43"/>
      <c r="W51" s="37" t="n">
        <f aca="false">IF(OR($C51="",$D51=""),0,IF(AND($D51&lt;ИНФА!$F$5,OR($T51="",$T51&gt;=ИНФА!$F$5)),1,0))</f>
        <v>0</v>
      </c>
      <c r="X51" s="46" t="str">
        <f aca="false">IF($C51="","",INDEX(СОБЫТИЯ!$B$5:$K$8,MATCH($K51,СОБЫТИЯ!$A$5:$A$8,0),ИНФА!$F$5))</f>
        <v/>
      </c>
      <c r="Y51" s="42" t="str">
        <f aca="false">IF($C51="","",IF($W51=1,ROUND($L51*$O51*IF(AND($Q51&lt;&gt;"",$S51&lt;&gt;""),IF($S51&lt;ИНФА!$F$5,$R51,1),1)*$X51,0)-$M51+N($AF51)+N($AG51),0))</f>
        <v/>
      </c>
      <c r="Z51" s="38" t="str">
        <f aca="false">IF($C51="","",IF($T51="",INDEX(ИНФА!$M$5:$M$19,MATCH($C51,ИНФА!$I$5:$I$19,0)),0))</f>
        <v/>
      </c>
      <c r="AA51" s="38" t="str">
        <f aca="false">IF(OR($C51="",$T51=""),"",IF($V51&lt;&gt;"",$V51,INDEX(ИНФА!$N$5:$N$19,MATCH($C51,ИНФА!$I$5:$I$19,0))))</f>
        <v/>
      </c>
      <c r="AB51" s="37" t="str">
        <f aca="false">IF($C51="","",IF($T51&lt;&gt;"",IF($U51&lt;&gt;"","продано компании "&amp;$U51&amp;" в цикле "&amp;$T51,"продано Инфраструктуре в цикле "&amp;$T51),IF($D51&gt;=ИНФА!$F$5,"доход со следующего цикла","приносит доход")))</f>
        <v/>
      </c>
      <c r="AC51" s="47" t="str">
        <f aca="false">IF($C51="","",IF($F51="","",IF($E51="","укажите продавца; ",IF(OR($F51&lt;INDEX(ИНФА!$N$5:$N$19,MATCH($C51,ИНФА!$I$5:$I$19,0)),$F51&gt;INDEX(ИНФА!$M$5:$M$19,MATCH($C51,ИНФА!$I$5:$I$19,0))),"цена покупки вне коридора! ","")))&amp;IF($U51="","",IF(OR($V51="",$T51=""),"укажите цикл и цену продажи; ",IF(OR($V51&lt;INDEX(ИНФА!$N$5:$N$19,MATCH($C51,ИНФА!$I$5:$I$19,0)),$V51&gt;INDEX(ИНФА!$M$5:$M$19,MATCH($C51,ИНФА!$I$5:$I$19,0))),"цена продажи вне коридора! ","")))&amp;IF(AND($T51="",COUNTIFS($C$5:$C51,$C51,$T$5:$T51,"")&gt;INDEX(ИНФА!$Q$5:$Q$19,MATCH($C51,ИНФА!$I$5:$I$19,0))),"лотов нет! ","")&amp;IF(AND($E51&lt;&gt;"",$F51=""),"укажите цену сделки; ","")&amp;IF(AND(N($H51)&gt;0,OR($AD51="",$AD51="Профессия"),OR($H51&gt;ИНФА!$F$29,$I51&lt;INDEX(ИНФА!$N$5:$N$19,MATCH($C51,ИНФА!$I$5:$I$19,0))+ИНФА!$F$30)),"скидка больше лимита или цена ниже выкупа + 500! ","")&amp;IF($AE51="","",IF(IFERROR(INDEX($B$5:$B$204,MATCH($AE51,$A$5:$A$204,0))=$B51,TRUE()),"бизнес-пара — только со зданием другой компании; ",""))&amp;IF($Q51="","",IF(IFERROR(INDEX(НАУКА!$B$5:$B$44,MATCH($Q51,НАУКА!$A$5:$A$44,0))&lt;&gt;$B51,FALSE()),"патент другой компании — нужна лицензия или соглашение; ","")))</f>
        <v/>
      </c>
      <c r="AD51" s="44"/>
      <c r="AE51" s="44"/>
      <c r="AF51" s="38" t="str">
        <f aca="false">IF($C51="","",IF(AND($W51=1,OR($C51="Дом",$C51="Кафе")),ИНФА!$F$17*(COUNTIFS($B$5:$B51,$B51,$C$5:$C51,$C51,$W$5:$W51,1)&lt;=COUNTIFS($B$5:$B$204,$B51,$C$5:$C$204,"Парк",$W$5:$W$204,1)),0))</f>
        <v/>
      </c>
      <c r="AG51" s="38" t="str">
        <f aca="false">IF($C51="","",IF($W51=1,IF(OR(AND($AE51&lt;&gt;"",IFERROR(INDEX($W$5:$W$204,MATCH($AE51,$A$5:$A$204,0))=1,FALSE()),IFERROR(INDEX($B$5:$B$204,MATCH($AE51,$A$5:$A$204,0))&lt;&gt;$B51,FALSE())),COUNTIFS($AE$5:$AE$204,$A51,$W$5:$W$204,1,$B$5:$B$204,"&lt;&gt;"&amp;$B51)&gt;0),ИНФА!$F$31,0),0))</f>
        <v/>
      </c>
    </row>
    <row r="52" customFormat="false" ht="15" hidden="false" customHeight="false" outlineLevel="0" collapsed="false">
      <c r="A52" s="15" t="n">
        <v>48</v>
      </c>
      <c r="B52" s="44"/>
      <c r="C52" s="44"/>
      <c r="D52" s="44"/>
      <c r="E52" s="44"/>
      <c r="F52" s="43"/>
      <c r="G52" s="38" t="str">
        <f aca="false">IF($C52="","",IF($F52&lt;&gt;"",$F52,INDEX(ИНФА!$M$5:$M$19,MATCH($C52,ИНФА!$I$5:$I$19,0))))</f>
        <v/>
      </c>
      <c r="H52" s="43"/>
      <c r="I52" s="38" t="str">
        <f aca="false">IF($C52="","",G52-N(H52))</f>
        <v/>
      </c>
      <c r="J52" s="37" t="str">
        <f aca="false">IF($C52="","",INDEX(ИНФА!$J$5:$J$19,MATCH($C52,ИНФА!$I$5:$I$19,0)))</f>
        <v/>
      </c>
      <c r="K52" s="37" t="str">
        <f aca="false">IF($C52="","",INDEX(ИНФА!$K$5:$K$19,MATCH($C52,ИНФА!$I$5:$I$19,0)))</f>
        <v/>
      </c>
      <c r="L52" s="38" t="str">
        <f aca="false">IF($C52="","",INDEX(ИНФА!$O$5:$O$19,MATCH($C52,ИНФА!$I$5:$I$19,0)))</f>
        <v/>
      </c>
      <c r="M52" s="38" t="str">
        <f aca="false">IF($C52="","",INDEX(ИНФА!$P$5:$P$19,MATCH($C52,ИНФА!$I$5:$I$19,0)))</f>
        <v/>
      </c>
      <c r="N52" s="44"/>
      <c r="O52" s="48" t="n">
        <f aca="false">IF(OR($C52="",$N52=""),1,IF(AND($J52="Услуги",IFERROR(INDEX($C$5:$C$204,MATCH($N52,$A$5:$A$204,0))=INDEX(ИНФА!$L$5:$L$19,MATCH($C52,ИНФА!$I$5:$I$19,0)),FALSE()),IFERROR(INDEX($W$5:$W$204,MATCH($N52,$A$5:$A$204,0))=1,FALSE()),COUNTIF($N$5:$N52,$N52)&lt;=ИНФА!$F$16),1+ИНФА!$F$15,1))</f>
        <v>1</v>
      </c>
      <c r="P52" s="47" t="str">
        <f aca="false">IF($C52="","",IF($J52&lt;&gt;"Услуги","",IF($N52="","нет поставщика — нужен "&amp;INDEX(ИНФА!$L$5:$L$19,MATCH($C52,ИНФА!$I$5:$I$19,0)),IF($O52&gt;1,"✓ поставка работает (+50%)",IF(IFERROR(INDEX($C$5:$C$204,MATCH($N52,$A$5:$A$204,0))&lt;&gt;INDEX(ИНФА!$L$5:$L$19,MATCH($C52,ИНФА!$I$5:$I$19,0)),TRUE()),"не тот поставщик: нужен "&amp;INDEX(ИНФА!$L$5:$L$19,MATCH($C52,ИНФА!$I$5:$I$19,0)),IF(COUNTIF($N$5:$N52,$N52)&gt;ИНФА!$F$16,"поставщик перегружен","поставщик ещё не работает или продан"))))))</f>
        <v/>
      </c>
      <c r="Q52" s="44"/>
      <c r="R52" s="48" t="str">
        <f aca="false">IF($C52="","",IF($Q52="",1,IFERROR(INDEX(НАУКА!$K$5:$K$44,MATCH($Q52,НАУКА!$A$5:$A$44,0)),1)))</f>
        <v/>
      </c>
      <c r="S52" s="37" t="str">
        <f aca="false">IF($Q52="","",IFERROR(INDEX(НАУКА!$G$5:$G$44,MATCH($Q52,НАУКА!$A$5:$A$44,0)),""))</f>
        <v/>
      </c>
      <c r="T52" s="44"/>
      <c r="U52" s="44"/>
      <c r="V52" s="43"/>
      <c r="W52" s="37" t="n">
        <f aca="false">IF(OR($C52="",$D52=""),0,IF(AND($D52&lt;ИНФА!$F$5,OR($T52="",$T52&gt;=ИНФА!$F$5)),1,0))</f>
        <v>0</v>
      </c>
      <c r="X52" s="46" t="str">
        <f aca="false">IF($C52="","",INDEX(СОБЫТИЯ!$B$5:$K$8,MATCH($K52,СОБЫТИЯ!$A$5:$A$8,0),ИНФА!$F$5))</f>
        <v/>
      </c>
      <c r="Y52" s="42" t="str">
        <f aca="false">IF($C52="","",IF($W52=1,ROUND($L52*$O52*IF(AND($Q52&lt;&gt;"",$S52&lt;&gt;""),IF($S52&lt;ИНФА!$F$5,$R52,1),1)*$X52,0)-$M52+N($AF52)+N($AG52),0))</f>
        <v/>
      </c>
      <c r="Z52" s="38" t="str">
        <f aca="false">IF($C52="","",IF($T52="",INDEX(ИНФА!$M$5:$M$19,MATCH($C52,ИНФА!$I$5:$I$19,0)),0))</f>
        <v/>
      </c>
      <c r="AA52" s="38" t="str">
        <f aca="false">IF(OR($C52="",$T52=""),"",IF($V52&lt;&gt;"",$V52,INDEX(ИНФА!$N$5:$N$19,MATCH($C52,ИНФА!$I$5:$I$19,0))))</f>
        <v/>
      </c>
      <c r="AB52" s="37" t="str">
        <f aca="false">IF($C52="","",IF($T52&lt;&gt;"",IF($U52&lt;&gt;"","продано компании "&amp;$U52&amp;" в цикле "&amp;$T52,"продано Инфраструктуре в цикле "&amp;$T52),IF($D52&gt;=ИНФА!$F$5,"доход со следующего цикла","приносит доход")))</f>
        <v/>
      </c>
      <c r="AC52" s="47" t="str">
        <f aca="false">IF($C52="","",IF($F52="","",IF($E52="","укажите продавца; ",IF(OR($F52&lt;INDEX(ИНФА!$N$5:$N$19,MATCH($C52,ИНФА!$I$5:$I$19,0)),$F52&gt;INDEX(ИНФА!$M$5:$M$19,MATCH($C52,ИНФА!$I$5:$I$19,0))),"цена покупки вне коридора! ","")))&amp;IF($U52="","",IF(OR($V52="",$T52=""),"укажите цикл и цену продажи; ",IF(OR($V52&lt;INDEX(ИНФА!$N$5:$N$19,MATCH($C52,ИНФА!$I$5:$I$19,0)),$V52&gt;INDEX(ИНФА!$M$5:$M$19,MATCH($C52,ИНФА!$I$5:$I$19,0))),"цена продажи вне коридора! ","")))&amp;IF(AND($T52="",COUNTIFS($C$5:$C52,$C52,$T$5:$T52,"")&gt;INDEX(ИНФА!$Q$5:$Q$19,MATCH($C52,ИНФА!$I$5:$I$19,0))),"лотов нет! ","")&amp;IF(AND($E52&lt;&gt;"",$F52=""),"укажите цену сделки; ","")&amp;IF(AND(N($H52)&gt;0,OR($AD52="",$AD52="Профессия"),OR($H52&gt;ИНФА!$F$29,$I52&lt;INDEX(ИНФА!$N$5:$N$19,MATCH($C52,ИНФА!$I$5:$I$19,0))+ИНФА!$F$30)),"скидка больше лимита или цена ниже выкупа + 500! ","")&amp;IF($AE52="","",IF(IFERROR(INDEX($B$5:$B$204,MATCH($AE52,$A$5:$A$204,0))=$B52,TRUE()),"бизнес-пара — только со зданием другой компании; ",""))&amp;IF($Q52="","",IF(IFERROR(INDEX(НАУКА!$B$5:$B$44,MATCH($Q52,НАУКА!$A$5:$A$44,0))&lt;&gt;$B52,FALSE()),"патент другой компании — нужна лицензия или соглашение; ","")))</f>
        <v/>
      </c>
      <c r="AD52" s="44"/>
      <c r="AE52" s="44"/>
      <c r="AF52" s="38" t="str">
        <f aca="false">IF($C52="","",IF(AND($W52=1,OR($C52="Дом",$C52="Кафе")),ИНФА!$F$17*(COUNTIFS($B$5:$B52,$B52,$C$5:$C52,$C52,$W$5:$W52,1)&lt;=COUNTIFS($B$5:$B$204,$B52,$C$5:$C$204,"Парк",$W$5:$W$204,1)),0))</f>
        <v/>
      </c>
      <c r="AG52" s="38" t="str">
        <f aca="false">IF($C52="","",IF($W52=1,IF(OR(AND($AE52&lt;&gt;"",IFERROR(INDEX($W$5:$W$204,MATCH($AE52,$A$5:$A$204,0))=1,FALSE()),IFERROR(INDEX($B$5:$B$204,MATCH($AE52,$A$5:$A$204,0))&lt;&gt;$B52,FALSE())),COUNTIFS($AE$5:$AE$204,$A52,$W$5:$W$204,1,$B$5:$B$204,"&lt;&gt;"&amp;$B52)&gt;0),ИНФА!$F$31,0),0))</f>
        <v/>
      </c>
    </row>
    <row r="53" customFormat="false" ht="15" hidden="false" customHeight="false" outlineLevel="0" collapsed="false">
      <c r="A53" s="15" t="n">
        <v>49</v>
      </c>
      <c r="B53" s="44"/>
      <c r="C53" s="44"/>
      <c r="D53" s="44"/>
      <c r="E53" s="44"/>
      <c r="F53" s="43"/>
      <c r="G53" s="38" t="str">
        <f aca="false">IF($C53="","",IF($F53&lt;&gt;"",$F53,INDEX(ИНФА!$M$5:$M$19,MATCH($C53,ИНФА!$I$5:$I$19,0))))</f>
        <v/>
      </c>
      <c r="H53" s="43"/>
      <c r="I53" s="38" t="str">
        <f aca="false">IF($C53="","",G53-N(H53))</f>
        <v/>
      </c>
      <c r="J53" s="37" t="str">
        <f aca="false">IF($C53="","",INDEX(ИНФА!$J$5:$J$19,MATCH($C53,ИНФА!$I$5:$I$19,0)))</f>
        <v/>
      </c>
      <c r="K53" s="37" t="str">
        <f aca="false">IF($C53="","",INDEX(ИНФА!$K$5:$K$19,MATCH($C53,ИНФА!$I$5:$I$19,0)))</f>
        <v/>
      </c>
      <c r="L53" s="38" t="str">
        <f aca="false">IF($C53="","",INDEX(ИНФА!$O$5:$O$19,MATCH($C53,ИНФА!$I$5:$I$19,0)))</f>
        <v/>
      </c>
      <c r="M53" s="38" t="str">
        <f aca="false">IF($C53="","",INDEX(ИНФА!$P$5:$P$19,MATCH($C53,ИНФА!$I$5:$I$19,0)))</f>
        <v/>
      </c>
      <c r="N53" s="44"/>
      <c r="O53" s="48" t="n">
        <f aca="false">IF(OR($C53="",$N53=""),1,IF(AND($J53="Услуги",IFERROR(INDEX($C$5:$C$204,MATCH($N53,$A$5:$A$204,0))=INDEX(ИНФА!$L$5:$L$19,MATCH($C53,ИНФА!$I$5:$I$19,0)),FALSE()),IFERROR(INDEX($W$5:$W$204,MATCH($N53,$A$5:$A$204,0))=1,FALSE()),COUNTIF($N$5:$N53,$N53)&lt;=ИНФА!$F$16),1+ИНФА!$F$15,1))</f>
        <v>1</v>
      </c>
      <c r="P53" s="47" t="str">
        <f aca="false">IF($C53="","",IF($J53&lt;&gt;"Услуги","",IF($N53="","нет поставщика — нужен "&amp;INDEX(ИНФА!$L$5:$L$19,MATCH($C53,ИНФА!$I$5:$I$19,0)),IF($O53&gt;1,"✓ поставка работает (+50%)",IF(IFERROR(INDEX($C$5:$C$204,MATCH($N53,$A$5:$A$204,0))&lt;&gt;INDEX(ИНФА!$L$5:$L$19,MATCH($C53,ИНФА!$I$5:$I$19,0)),TRUE()),"не тот поставщик: нужен "&amp;INDEX(ИНФА!$L$5:$L$19,MATCH($C53,ИНФА!$I$5:$I$19,0)),IF(COUNTIF($N$5:$N53,$N53)&gt;ИНФА!$F$16,"поставщик перегружен","поставщик ещё не работает или продан"))))))</f>
        <v/>
      </c>
      <c r="Q53" s="44"/>
      <c r="R53" s="48" t="str">
        <f aca="false">IF($C53="","",IF($Q53="",1,IFERROR(INDEX(НАУКА!$K$5:$K$44,MATCH($Q53,НАУКА!$A$5:$A$44,0)),1)))</f>
        <v/>
      </c>
      <c r="S53" s="37" t="str">
        <f aca="false">IF($Q53="","",IFERROR(INDEX(НАУКА!$G$5:$G$44,MATCH($Q53,НАУКА!$A$5:$A$44,0)),""))</f>
        <v/>
      </c>
      <c r="T53" s="44"/>
      <c r="U53" s="44"/>
      <c r="V53" s="43"/>
      <c r="W53" s="37" t="n">
        <f aca="false">IF(OR($C53="",$D53=""),0,IF(AND($D53&lt;ИНФА!$F$5,OR($T53="",$T53&gt;=ИНФА!$F$5)),1,0))</f>
        <v>0</v>
      </c>
      <c r="X53" s="46" t="str">
        <f aca="false">IF($C53="","",INDEX(СОБЫТИЯ!$B$5:$K$8,MATCH($K53,СОБЫТИЯ!$A$5:$A$8,0),ИНФА!$F$5))</f>
        <v/>
      </c>
      <c r="Y53" s="42" t="str">
        <f aca="false">IF($C53="","",IF($W53=1,ROUND($L53*$O53*IF(AND($Q53&lt;&gt;"",$S53&lt;&gt;""),IF($S53&lt;ИНФА!$F$5,$R53,1),1)*$X53,0)-$M53+N($AF53)+N($AG53),0))</f>
        <v/>
      </c>
      <c r="Z53" s="38" t="str">
        <f aca="false">IF($C53="","",IF($T53="",INDEX(ИНФА!$M$5:$M$19,MATCH($C53,ИНФА!$I$5:$I$19,0)),0))</f>
        <v/>
      </c>
      <c r="AA53" s="38" t="str">
        <f aca="false">IF(OR($C53="",$T53=""),"",IF($V53&lt;&gt;"",$V53,INDEX(ИНФА!$N$5:$N$19,MATCH($C53,ИНФА!$I$5:$I$19,0))))</f>
        <v/>
      </c>
      <c r="AB53" s="37" t="str">
        <f aca="false">IF($C53="","",IF($T53&lt;&gt;"",IF($U53&lt;&gt;"","продано компании "&amp;$U53&amp;" в цикле "&amp;$T53,"продано Инфраструктуре в цикле "&amp;$T53),IF($D53&gt;=ИНФА!$F$5,"доход со следующего цикла","приносит доход")))</f>
        <v/>
      </c>
      <c r="AC53" s="47" t="str">
        <f aca="false">IF($C53="","",IF($F53="","",IF($E53="","укажите продавца; ",IF(OR($F53&lt;INDEX(ИНФА!$N$5:$N$19,MATCH($C53,ИНФА!$I$5:$I$19,0)),$F53&gt;INDEX(ИНФА!$M$5:$M$19,MATCH($C53,ИНФА!$I$5:$I$19,0))),"цена покупки вне коридора! ","")))&amp;IF($U53="","",IF(OR($V53="",$T53=""),"укажите цикл и цену продажи; ",IF(OR($V53&lt;INDEX(ИНФА!$N$5:$N$19,MATCH($C53,ИНФА!$I$5:$I$19,0)),$V53&gt;INDEX(ИНФА!$M$5:$M$19,MATCH($C53,ИНФА!$I$5:$I$19,0))),"цена продажи вне коридора! ","")))&amp;IF(AND($T53="",COUNTIFS($C$5:$C53,$C53,$T$5:$T53,"")&gt;INDEX(ИНФА!$Q$5:$Q$19,MATCH($C53,ИНФА!$I$5:$I$19,0))),"лотов нет! ","")&amp;IF(AND($E53&lt;&gt;"",$F53=""),"укажите цену сделки; ","")&amp;IF(AND(N($H53)&gt;0,OR($AD53="",$AD53="Профессия"),OR($H53&gt;ИНФА!$F$29,$I53&lt;INDEX(ИНФА!$N$5:$N$19,MATCH($C53,ИНФА!$I$5:$I$19,0))+ИНФА!$F$30)),"скидка больше лимита или цена ниже выкупа + 500! ","")&amp;IF($AE53="","",IF(IFERROR(INDEX($B$5:$B$204,MATCH($AE53,$A$5:$A$204,0))=$B53,TRUE()),"бизнес-пара — только со зданием другой компании; ",""))&amp;IF($Q53="","",IF(IFERROR(INDEX(НАУКА!$B$5:$B$44,MATCH($Q53,НАУКА!$A$5:$A$44,0))&lt;&gt;$B53,FALSE()),"патент другой компании — нужна лицензия или соглашение; ","")))</f>
        <v/>
      </c>
      <c r="AD53" s="44"/>
      <c r="AE53" s="44"/>
      <c r="AF53" s="38" t="str">
        <f aca="false">IF($C53="","",IF(AND($W53=1,OR($C53="Дом",$C53="Кафе")),ИНФА!$F$17*(COUNTIFS($B$5:$B53,$B53,$C$5:$C53,$C53,$W$5:$W53,1)&lt;=COUNTIFS($B$5:$B$204,$B53,$C$5:$C$204,"Парк",$W$5:$W$204,1)),0))</f>
        <v/>
      </c>
      <c r="AG53" s="38" t="str">
        <f aca="false">IF($C53="","",IF($W53=1,IF(OR(AND($AE53&lt;&gt;"",IFERROR(INDEX($W$5:$W$204,MATCH($AE53,$A$5:$A$204,0))=1,FALSE()),IFERROR(INDEX($B$5:$B$204,MATCH($AE53,$A$5:$A$204,0))&lt;&gt;$B53,FALSE())),COUNTIFS($AE$5:$AE$204,$A53,$W$5:$W$204,1,$B$5:$B$204,"&lt;&gt;"&amp;$B53)&gt;0),ИНФА!$F$31,0),0))</f>
        <v/>
      </c>
    </row>
    <row r="54" customFormat="false" ht="15" hidden="false" customHeight="false" outlineLevel="0" collapsed="false">
      <c r="A54" s="15" t="n">
        <v>50</v>
      </c>
      <c r="B54" s="44"/>
      <c r="C54" s="44"/>
      <c r="D54" s="44"/>
      <c r="E54" s="44"/>
      <c r="F54" s="43"/>
      <c r="G54" s="38" t="str">
        <f aca="false">IF($C54="","",IF($F54&lt;&gt;"",$F54,INDEX(ИНФА!$M$5:$M$19,MATCH($C54,ИНФА!$I$5:$I$19,0))))</f>
        <v/>
      </c>
      <c r="H54" s="43"/>
      <c r="I54" s="38" t="str">
        <f aca="false">IF($C54="","",G54-N(H54))</f>
        <v/>
      </c>
      <c r="J54" s="37" t="str">
        <f aca="false">IF($C54="","",INDEX(ИНФА!$J$5:$J$19,MATCH($C54,ИНФА!$I$5:$I$19,0)))</f>
        <v/>
      </c>
      <c r="K54" s="37" t="str">
        <f aca="false">IF($C54="","",INDEX(ИНФА!$K$5:$K$19,MATCH($C54,ИНФА!$I$5:$I$19,0)))</f>
        <v/>
      </c>
      <c r="L54" s="38" t="str">
        <f aca="false">IF($C54="","",INDEX(ИНФА!$O$5:$O$19,MATCH($C54,ИНФА!$I$5:$I$19,0)))</f>
        <v/>
      </c>
      <c r="M54" s="38" t="str">
        <f aca="false">IF($C54="","",INDEX(ИНФА!$P$5:$P$19,MATCH($C54,ИНФА!$I$5:$I$19,0)))</f>
        <v/>
      </c>
      <c r="N54" s="44"/>
      <c r="O54" s="48" t="n">
        <f aca="false">IF(OR($C54="",$N54=""),1,IF(AND($J54="Услуги",IFERROR(INDEX($C$5:$C$204,MATCH($N54,$A$5:$A$204,0))=INDEX(ИНФА!$L$5:$L$19,MATCH($C54,ИНФА!$I$5:$I$19,0)),FALSE()),IFERROR(INDEX($W$5:$W$204,MATCH($N54,$A$5:$A$204,0))=1,FALSE()),COUNTIF($N$5:$N54,$N54)&lt;=ИНФА!$F$16),1+ИНФА!$F$15,1))</f>
        <v>1</v>
      </c>
      <c r="P54" s="47" t="str">
        <f aca="false">IF($C54="","",IF($J54&lt;&gt;"Услуги","",IF($N54="","нет поставщика — нужен "&amp;INDEX(ИНФА!$L$5:$L$19,MATCH($C54,ИНФА!$I$5:$I$19,0)),IF($O54&gt;1,"✓ поставка работает (+50%)",IF(IFERROR(INDEX($C$5:$C$204,MATCH($N54,$A$5:$A$204,0))&lt;&gt;INDEX(ИНФА!$L$5:$L$19,MATCH($C54,ИНФА!$I$5:$I$19,0)),TRUE()),"не тот поставщик: нужен "&amp;INDEX(ИНФА!$L$5:$L$19,MATCH($C54,ИНФА!$I$5:$I$19,0)),IF(COUNTIF($N$5:$N54,$N54)&gt;ИНФА!$F$16,"поставщик перегружен","поставщик ещё не работает или продан"))))))</f>
        <v/>
      </c>
      <c r="Q54" s="44"/>
      <c r="R54" s="48" t="str">
        <f aca="false">IF($C54="","",IF($Q54="",1,IFERROR(INDEX(НАУКА!$K$5:$K$44,MATCH($Q54,НАУКА!$A$5:$A$44,0)),1)))</f>
        <v/>
      </c>
      <c r="S54" s="37" t="str">
        <f aca="false">IF($Q54="","",IFERROR(INDEX(НАУКА!$G$5:$G$44,MATCH($Q54,НАУКА!$A$5:$A$44,0)),""))</f>
        <v/>
      </c>
      <c r="T54" s="44"/>
      <c r="U54" s="44"/>
      <c r="V54" s="43"/>
      <c r="W54" s="37" t="n">
        <f aca="false">IF(OR($C54="",$D54=""),0,IF(AND($D54&lt;ИНФА!$F$5,OR($T54="",$T54&gt;=ИНФА!$F$5)),1,0))</f>
        <v>0</v>
      </c>
      <c r="X54" s="46" t="str">
        <f aca="false">IF($C54="","",INDEX(СОБЫТИЯ!$B$5:$K$8,MATCH($K54,СОБЫТИЯ!$A$5:$A$8,0),ИНФА!$F$5))</f>
        <v/>
      </c>
      <c r="Y54" s="42" t="str">
        <f aca="false">IF($C54="","",IF($W54=1,ROUND($L54*$O54*IF(AND($Q54&lt;&gt;"",$S54&lt;&gt;""),IF($S54&lt;ИНФА!$F$5,$R54,1),1)*$X54,0)-$M54+N($AF54)+N($AG54),0))</f>
        <v/>
      </c>
      <c r="Z54" s="38" t="str">
        <f aca="false">IF($C54="","",IF($T54="",INDEX(ИНФА!$M$5:$M$19,MATCH($C54,ИНФА!$I$5:$I$19,0)),0))</f>
        <v/>
      </c>
      <c r="AA54" s="38" t="str">
        <f aca="false">IF(OR($C54="",$T54=""),"",IF($V54&lt;&gt;"",$V54,INDEX(ИНФА!$N$5:$N$19,MATCH($C54,ИНФА!$I$5:$I$19,0))))</f>
        <v/>
      </c>
      <c r="AB54" s="37" t="str">
        <f aca="false">IF($C54="","",IF($T54&lt;&gt;"",IF($U54&lt;&gt;"","продано компании "&amp;$U54&amp;" в цикле "&amp;$T54,"продано Инфраструктуре в цикле "&amp;$T54),IF($D54&gt;=ИНФА!$F$5,"доход со следующего цикла","приносит доход")))</f>
        <v/>
      </c>
      <c r="AC54" s="47" t="str">
        <f aca="false">IF($C54="","",IF($F54="","",IF($E54="","укажите продавца; ",IF(OR($F54&lt;INDEX(ИНФА!$N$5:$N$19,MATCH($C54,ИНФА!$I$5:$I$19,0)),$F54&gt;INDEX(ИНФА!$M$5:$M$19,MATCH($C54,ИНФА!$I$5:$I$19,0))),"цена покупки вне коридора! ","")))&amp;IF($U54="","",IF(OR($V54="",$T54=""),"укажите цикл и цену продажи; ",IF(OR($V54&lt;INDEX(ИНФА!$N$5:$N$19,MATCH($C54,ИНФА!$I$5:$I$19,0)),$V54&gt;INDEX(ИНФА!$M$5:$M$19,MATCH($C54,ИНФА!$I$5:$I$19,0))),"цена продажи вне коридора! ","")))&amp;IF(AND($T54="",COUNTIFS($C$5:$C54,$C54,$T$5:$T54,"")&gt;INDEX(ИНФА!$Q$5:$Q$19,MATCH($C54,ИНФА!$I$5:$I$19,0))),"лотов нет! ","")&amp;IF(AND($E54&lt;&gt;"",$F54=""),"укажите цену сделки; ","")&amp;IF(AND(N($H54)&gt;0,OR($AD54="",$AD54="Профессия"),OR($H54&gt;ИНФА!$F$29,$I54&lt;INDEX(ИНФА!$N$5:$N$19,MATCH($C54,ИНФА!$I$5:$I$19,0))+ИНФА!$F$30)),"скидка больше лимита или цена ниже выкупа + 500! ","")&amp;IF($AE54="","",IF(IFERROR(INDEX($B$5:$B$204,MATCH($AE54,$A$5:$A$204,0))=$B54,TRUE()),"бизнес-пара — только со зданием другой компании; ",""))&amp;IF($Q54="","",IF(IFERROR(INDEX(НАУКА!$B$5:$B$44,MATCH($Q54,НАУКА!$A$5:$A$44,0))&lt;&gt;$B54,FALSE()),"патент другой компании — нужна лицензия или соглашение; ","")))</f>
        <v/>
      </c>
      <c r="AD54" s="44"/>
      <c r="AE54" s="44"/>
      <c r="AF54" s="38" t="str">
        <f aca="false">IF($C54="","",IF(AND($W54=1,OR($C54="Дом",$C54="Кафе")),ИНФА!$F$17*(COUNTIFS($B$5:$B54,$B54,$C$5:$C54,$C54,$W$5:$W54,1)&lt;=COUNTIFS($B$5:$B$204,$B54,$C$5:$C$204,"Парк",$W$5:$W$204,1)),0))</f>
        <v/>
      </c>
      <c r="AG54" s="38" t="str">
        <f aca="false">IF($C54="","",IF($W54=1,IF(OR(AND($AE54&lt;&gt;"",IFERROR(INDEX($W$5:$W$204,MATCH($AE54,$A$5:$A$204,0))=1,FALSE()),IFERROR(INDEX($B$5:$B$204,MATCH($AE54,$A$5:$A$204,0))&lt;&gt;$B54,FALSE())),COUNTIFS($AE$5:$AE$204,$A54,$W$5:$W$204,1,$B$5:$B$204,"&lt;&gt;"&amp;$B54)&gt;0),ИНФА!$F$31,0),0))</f>
        <v/>
      </c>
    </row>
    <row r="55" customFormat="false" ht="15" hidden="false" customHeight="false" outlineLevel="0" collapsed="false">
      <c r="A55" s="15" t="n">
        <v>51</v>
      </c>
      <c r="B55" s="44"/>
      <c r="C55" s="44"/>
      <c r="D55" s="44"/>
      <c r="E55" s="44"/>
      <c r="F55" s="43"/>
      <c r="G55" s="38" t="str">
        <f aca="false">IF($C55="","",IF($F55&lt;&gt;"",$F55,INDEX(ИНФА!$M$5:$M$19,MATCH($C55,ИНФА!$I$5:$I$19,0))))</f>
        <v/>
      </c>
      <c r="H55" s="43"/>
      <c r="I55" s="38" t="str">
        <f aca="false">IF($C55="","",G55-N(H55))</f>
        <v/>
      </c>
      <c r="J55" s="37" t="str">
        <f aca="false">IF($C55="","",INDEX(ИНФА!$J$5:$J$19,MATCH($C55,ИНФА!$I$5:$I$19,0)))</f>
        <v/>
      </c>
      <c r="K55" s="37" t="str">
        <f aca="false">IF($C55="","",INDEX(ИНФА!$K$5:$K$19,MATCH($C55,ИНФА!$I$5:$I$19,0)))</f>
        <v/>
      </c>
      <c r="L55" s="38" t="str">
        <f aca="false">IF($C55="","",INDEX(ИНФА!$O$5:$O$19,MATCH($C55,ИНФА!$I$5:$I$19,0)))</f>
        <v/>
      </c>
      <c r="M55" s="38" t="str">
        <f aca="false">IF($C55="","",INDEX(ИНФА!$P$5:$P$19,MATCH($C55,ИНФА!$I$5:$I$19,0)))</f>
        <v/>
      </c>
      <c r="N55" s="44"/>
      <c r="O55" s="48" t="n">
        <f aca="false">IF(OR($C55="",$N55=""),1,IF(AND($J55="Услуги",IFERROR(INDEX($C$5:$C$204,MATCH($N55,$A$5:$A$204,0))=INDEX(ИНФА!$L$5:$L$19,MATCH($C55,ИНФА!$I$5:$I$19,0)),FALSE()),IFERROR(INDEX($W$5:$W$204,MATCH($N55,$A$5:$A$204,0))=1,FALSE()),COUNTIF($N$5:$N55,$N55)&lt;=ИНФА!$F$16),1+ИНФА!$F$15,1))</f>
        <v>1</v>
      </c>
      <c r="P55" s="47" t="str">
        <f aca="false">IF($C55="","",IF($J55&lt;&gt;"Услуги","",IF($N55="","нет поставщика — нужен "&amp;INDEX(ИНФА!$L$5:$L$19,MATCH($C55,ИНФА!$I$5:$I$19,0)),IF($O55&gt;1,"✓ поставка работает (+50%)",IF(IFERROR(INDEX($C$5:$C$204,MATCH($N55,$A$5:$A$204,0))&lt;&gt;INDEX(ИНФА!$L$5:$L$19,MATCH($C55,ИНФА!$I$5:$I$19,0)),TRUE()),"не тот поставщик: нужен "&amp;INDEX(ИНФА!$L$5:$L$19,MATCH($C55,ИНФА!$I$5:$I$19,0)),IF(COUNTIF($N$5:$N55,$N55)&gt;ИНФА!$F$16,"поставщик перегружен","поставщик ещё не работает или продан"))))))</f>
        <v/>
      </c>
      <c r="Q55" s="44"/>
      <c r="R55" s="48" t="str">
        <f aca="false">IF($C55="","",IF($Q55="",1,IFERROR(INDEX(НАУКА!$K$5:$K$44,MATCH($Q55,НАУКА!$A$5:$A$44,0)),1)))</f>
        <v/>
      </c>
      <c r="S55" s="37" t="str">
        <f aca="false">IF($Q55="","",IFERROR(INDEX(НАУКА!$G$5:$G$44,MATCH($Q55,НАУКА!$A$5:$A$44,0)),""))</f>
        <v/>
      </c>
      <c r="T55" s="44"/>
      <c r="U55" s="44"/>
      <c r="V55" s="43"/>
      <c r="W55" s="37" t="n">
        <f aca="false">IF(OR($C55="",$D55=""),0,IF(AND($D55&lt;ИНФА!$F$5,OR($T55="",$T55&gt;=ИНФА!$F$5)),1,0))</f>
        <v>0</v>
      </c>
      <c r="X55" s="46" t="str">
        <f aca="false">IF($C55="","",INDEX(СОБЫТИЯ!$B$5:$K$8,MATCH($K55,СОБЫТИЯ!$A$5:$A$8,0),ИНФА!$F$5))</f>
        <v/>
      </c>
      <c r="Y55" s="42" t="str">
        <f aca="false">IF($C55="","",IF($W55=1,ROUND($L55*$O55*IF(AND($Q55&lt;&gt;"",$S55&lt;&gt;""),IF($S55&lt;ИНФА!$F$5,$R55,1),1)*$X55,0)-$M55+N($AF55)+N($AG55),0))</f>
        <v/>
      </c>
      <c r="Z55" s="38" t="str">
        <f aca="false">IF($C55="","",IF($T55="",INDEX(ИНФА!$M$5:$M$19,MATCH($C55,ИНФА!$I$5:$I$19,0)),0))</f>
        <v/>
      </c>
      <c r="AA55" s="38" t="str">
        <f aca="false">IF(OR($C55="",$T55=""),"",IF($V55&lt;&gt;"",$V55,INDEX(ИНФА!$N$5:$N$19,MATCH($C55,ИНФА!$I$5:$I$19,0))))</f>
        <v/>
      </c>
      <c r="AB55" s="37" t="str">
        <f aca="false">IF($C55="","",IF($T55&lt;&gt;"",IF($U55&lt;&gt;"","продано компании "&amp;$U55&amp;" в цикле "&amp;$T55,"продано Инфраструктуре в цикле "&amp;$T55),IF($D55&gt;=ИНФА!$F$5,"доход со следующего цикла","приносит доход")))</f>
        <v/>
      </c>
      <c r="AC55" s="47" t="str">
        <f aca="false">IF($C55="","",IF($F55="","",IF($E55="","укажите продавца; ",IF(OR($F55&lt;INDEX(ИНФА!$N$5:$N$19,MATCH($C55,ИНФА!$I$5:$I$19,0)),$F55&gt;INDEX(ИНФА!$M$5:$M$19,MATCH($C55,ИНФА!$I$5:$I$19,0))),"цена покупки вне коридора! ","")))&amp;IF($U55="","",IF(OR($V55="",$T55=""),"укажите цикл и цену продажи; ",IF(OR($V55&lt;INDEX(ИНФА!$N$5:$N$19,MATCH($C55,ИНФА!$I$5:$I$19,0)),$V55&gt;INDEX(ИНФА!$M$5:$M$19,MATCH($C55,ИНФА!$I$5:$I$19,0))),"цена продажи вне коридора! ","")))&amp;IF(AND($T55="",COUNTIFS($C$5:$C55,$C55,$T$5:$T55,"")&gt;INDEX(ИНФА!$Q$5:$Q$19,MATCH($C55,ИНФА!$I$5:$I$19,0))),"лотов нет! ","")&amp;IF(AND($E55&lt;&gt;"",$F55=""),"укажите цену сделки; ","")&amp;IF(AND(N($H55)&gt;0,OR($AD55="",$AD55="Профессия"),OR($H55&gt;ИНФА!$F$29,$I55&lt;INDEX(ИНФА!$N$5:$N$19,MATCH($C55,ИНФА!$I$5:$I$19,0))+ИНФА!$F$30)),"скидка больше лимита или цена ниже выкупа + 500! ","")&amp;IF($AE55="","",IF(IFERROR(INDEX($B$5:$B$204,MATCH($AE55,$A$5:$A$204,0))=$B55,TRUE()),"бизнес-пара — только со зданием другой компании; ",""))&amp;IF($Q55="","",IF(IFERROR(INDEX(НАУКА!$B$5:$B$44,MATCH($Q55,НАУКА!$A$5:$A$44,0))&lt;&gt;$B55,FALSE()),"патент другой компании — нужна лицензия или соглашение; ","")))</f>
        <v/>
      </c>
      <c r="AD55" s="44"/>
      <c r="AE55" s="44"/>
      <c r="AF55" s="38" t="str">
        <f aca="false">IF($C55="","",IF(AND($W55=1,OR($C55="Дом",$C55="Кафе")),ИНФА!$F$17*(COUNTIFS($B$5:$B55,$B55,$C$5:$C55,$C55,$W$5:$W55,1)&lt;=COUNTIFS($B$5:$B$204,$B55,$C$5:$C$204,"Парк",$W$5:$W$204,1)),0))</f>
        <v/>
      </c>
      <c r="AG55" s="38" t="str">
        <f aca="false">IF($C55="","",IF($W55=1,IF(OR(AND($AE55&lt;&gt;"",IFERROR(INDEX($W$5:$W$204,MATCH($AE55,$A$5:$A$204,0))=1,FALSE()),IFERROR(INDEX($B$5:$B$204,MATCH($AE55,$A$5:$A$204,0))&lt;&gt;$B55,FALSE())),COUNTIFS($AE$5:$AE$204,$A55,$W$5:$W$204,1,$B$5:$B$204,"&lt;&gt;"&amp;$B55)&gt;0),ИНФА!$F$31,0),0))</f>
        <v/>
      </c>
    </row>
    <row r="56" customFormat="false" ht="15" hidden="false" customHeight="false" outlineLevel="0" collapsed="false">
      <c r="A56" s="15" t="n">
        <v>52</v>
      </c>
      <c r="B56" s="44"/>
      <c r="C56" s="44"/>
      <c r="D56" s="44"/>
      <c r="E56" s="44"/>
      <c r="F56" s="43"/>
      <c r="G56" s="38" t="str">
        <f aca="false">IF($C56="","",IF($F56&lt;&gt;"",$F56,INDEX(ИНФА!$M$5:$M$19,MATCH($C56,ИНФА!$I$5:$I$19,0))))</f>
        <v/>
      </c>
      <c r="H56" s="43"/>
      <c r="I56" s="38" t="str">
        <f aca="false">IF($C56="","",G56-N(H56))</f>
        <v/>
      </c>
      <c r="J56" s="37" t="str">
        <f aca="false">IF($C56="","",INDEX(ИНФА!$J$5:$J$19,MATCH($C56,ИНФА!$I$5:$I$19,0)))</f>
        <v/>
      </c>
      <c r="K56" s="37" t="str">
        <f aca="false">IF($C56="","",INDEX(ИНФА!$K$5:$K$19,MATCH($C56,ИНФА!$I$5:$I$19,0)))</f>
        <v/>
      </c>
      <c r="L56" s="38" t="str">
        <f aca="false">IF($C56="","",INDEX(ИНФА!$O$5:$O$19,MATCH($C56,ИНФА!$I$5:$I$19,0)))</f>
        <v/>
      </c>
      <c r="M56" s="38" t="str">
        <f aca="false">IF($C56="","",INDEX(ИНФА!$P$5:$P$19,MATCH($C56,ИНФА!$I$5:$I$19,0)))</f>
        <v/>
      </c>
      <c r="N56" s="44"/>
      <c r="O56" s="48" t="n">
        <f aca="false">IF(OR($C56="",$N56=""),1,IF(AND($J56="Услуги",IFERROR(INDEX($C$5:$C$204,MATCH($N56,$A$5:$A$204,0))=INDEX(ИНФА!$L$5:$L$19,MATCH($C56,ИНФА!$I$5:$I$19,0)),FALSE()),IFERROR(INDEX($W$5:$W$204,MATCH($N56,$A$5:$A$204,0))=1,FALSE()),COUNTIF($N$5:$N56,$N56)&lt;=ИНФА!$F$16),1+ИНФА!$F$15,1))</f>
        <v>1</v>
      </c>
      <c r="P56" s="47" t="str">
        <f aca="false">IF($C56="","",IF($J56&lt;&gt;"Услуги","",IF($N56="","нет поставщика — нужен "&amp;INDEX(ИНФА!$L$5:$L$19,MATCH($C56,ИНФА!$I$5:$I$19,0)),IF($O56&gt;1,"✓ поставка работает (+50%)",IF(IFERROR(INDEX($C$5:$C$204,MATCH($N56,$A$5:$A$204,0))&lt;&gt;INDEX(ИНФА!$L$5:$L$19,MATCH($C56,ИНФА!$I$5:$I$19,0)),TRUE()),"не тот поставщик: нужен "&amp;INDEX(ИНФА!$L$5:$L$19,MATCH($C56,ИНФА!$I$5:$I$19,0)),IF(COUNTIF($N$5:$N56,$N56)&gt;ИНФА!$F$16,"поставщик перегружен","поставщик ещё не работает или продан"))))))</f>
        <v/>
      </c>
      <c r="Q56" s="44"/>
      <c r="R56" s="48" t="str">
        <f aca="false">IF($C56="","",IF($Q56="",1,IFERROR(INDEX(НАУКА!$K$5:$K$44,MATCH($Q56,НАУКА!$A$5:$A$44,0)),1)))</f>
        <v/>
      </c>
      <c r="S56" s="37" t="str">
        <f aca="false">IF($Q56="","",IFERROR(INDEX(НАУКА!$G$5:$G$44,MATCH($Q56,НАУКА!$A$5:$A$44,0)),""))</f>
        <v/>
      </c>
      <c r="T56" s="44"/>
      <c r="U56" s="44"/>
      <c r="V56" s="43"/>
      <c r="W56" s="37" t="n">
        <f aca="false">IF(OR($C56="",$D56=""),0,IF(AND($D56&lt;ИНФА!$F$5,OR($T56="",$T56&gt;=ИНФА!$F$5)),1,0))</f>
        <v>0</v>
      </c>
      <c r="X56" s="46" t="str">
        <f aca="false">IF($C56="","",INDEX(СОБЫТИЯ!$B$5:$K$8,MATCH($K56,СОБЫТИЯ!$A$5:$A$8,0),ИНФА!$F$5))</f>
        <v/>
      </c>
      <c r="Y56" s="42" t="str">
        <f aca="false">IF($C56="","",IF($W56=1,ROUND($L56*$O56*IF(AND($Q56&lt;&gt;"",$S56&lt;&gt;""),IF($S56&lt;ИНФА!$F$5,$R56,1),1)*$X56,0)-$M56+N($AF56)+N($AG56),0))</f>
        <v/>
      </c>
      <c r="Z56" s="38" t="str">
        <f aca="false">IF($C56="","",IF($T56="",INDEX(ИНФА!$M$5:$M$19,MATCH($C56,ИНФА!$I$5:$I$19,0)),0))</f>
        <v/>
      </c>
      <c r="AA56" s="38" t="str">
        <f aca="false">IF(OR($C56="",$T56=""),"",IF($V56&lt;&gt;"",$V56,INDEX(ИНФА!$N$5:$N$19,MATCH($C56,ИНФА!$I$5:$I$19,0))))</f>
        <v/>
      </c>
      <c r="AB56" s="37" t="str">
        <f aca="false">IF($C56="","",IF($T56&lt;&gt;"",IF($U56&lt;&gt;"","продано компании "&amp;$U56&amp;" в цикле "&amp;$T56,"продано Инфраструктуре в цикле "&amp;$T56),IF($D56&gt;=ИНФА!$F$5,"доход со следующего цикла","приносит доход")))</f>
        <v/>
      </c>
      <c r="AC56" s="47" t="str">
        <f aca="false">IF($C56="","",IF($F56="","",IF($E56="","укажите продавца; ",IF(OR($F56&lt;INDEX(ИНФА!$N$5:$N$19,MATCH($C56,ИНФА!$I$5:$I$19,0)),$F56&gt;INDEX(ИНФА!$M$5:$M$19,MATCH($C56,ИНФА!$I$5:$I$19,0))),"цена покупки вне коридора! ","")))&amp;IF($U56="","",IF(OR($V56="",$T56=""),"укажите цикл и цену продажи; ",IF(OR($V56&lt;INDEX(ИНФА!$N$5:$N$19,MATCH($C56,ИНФА!$I$5:$I$19,0)),$V56&gt;INDEX(ИНФА!$M$5:$M$19,MATCH($C56,ИНФА!$I$5:$I$19,0))),"цена продажи вне коридора! ","")))&amp;IF(AND($T56="",COUNTIFS($C$5:$C56,$C56,$T$5:$T56,"")&gt;INDEX(ИНФА!$Q$5:$Q$19,MATCH($C56,ИНФА!$I$5:$I$19,0))),"лотов нет! ","")&amp;IF(AND($E56&lt;&gt;"",$F56=""),"укажите цену сделки; ","")&amp;IF(AND(N($H56)&gt;0,OR($AD56="",$AD56="Профессия"),OR($H56&gt;ИНФА!$F$29,$I56&lt;INDEX(ИНФА!$N$5:$N$19,MATCH($C56,ИНФА!$I$5:$I$19,0))+ИНФА!$F$30)),"скидка больше лимита или цена ниже выкупа + 500! ","")&amp;IF($AE56="","",IF(IFERROR(INDEX($B$5:$B$204,MATCH($AE56,$A$5:$A$204,0))=$B56,TRUE()),"бизнес-пара — только со зданием другой компании; ",""))&amp;IF($Q56="","",IF(IFERROR(INDEX(НАУКА!$B$5:$B$44,MATCH($Q56,НАУКА!$A$5:$A$44,0))&lt;&gt;$B56,FALSE()),"патент другой компании — нужна лицензия или соглашение; ","")))</f>
        <v/>
      </c>
      <c r="AD56" s="44"/>
      <c r="AE56" s="44"/>
      <c r="AF56" s="38" t="str">
        <f aca="false">IF($C56="","",IF(AND($W56=1,OR($C56="Дом",$C56="Кафе")),ИНФА!$F$17*(COUNTIFS($B$5:$B56,$B56,$C$5:$C56,$C56,$W$5:$W56,1)&lt;=COUNTIFS($B$5:$B$204,$B56,$C$5:$C$204,"Парк",$W$5:$W$204,1)),0))</f>
        <v/>
      </c>
      <c r="AG56" s="38" t="str">
        <f aca="false">IF($C56="","",IF($W56=1,IF(OR(AND($AE56&lt;&gt;"",IFERROR(INDEX($W$5:$W$204,MATCH($AE56,$A$5:$A$204,0))=1,FALSE()),IFERROR(INDEX($B$5:$B$204,MATCH($AE56,$A$5:$A$204,0))&lt;&gt;$B56,FALSE())),COUNTIFS($AE$5:$AE$204,$A56,$W$5:$W$204,1,$B$5:$B$204,"&lt;&gt;"&amp;$B56)&gt;0),ИНФА!$F$31,0),0))</f>
        <v/>
      </c>
    </row>
    <row r="57" customFormat="false" ht="15" hidden="false" customHeight="false" outlineLevel="0" collapsed="false">
      <c r="A57" s="15" t="n">
        <v>53</v>
      </c>
      <c r="B57" s="44"/>
      <c r="C57" s="44"/>
      <c r="D57" s="44"/>
      <c r="E57" s="44"/>
      <c r="F57" s="43"/>
      <c r="G57" s="38" t="str">
        <f aca="false">IF($C57="","",IF($F57&lt;&gt;"",$F57,INDEX(ИНФА!$M$5:$M$19,MATCH($C57,ИНФА!$I$5:$I$19,0))))</f>
        <v/>
      </c>
      <c r="H57" s="43"/>
      <c r="I57" s="38" t="str">
        <f aca="false">IF($C57="","",G57-N(H57))</f>
        <v/>
      </c>
      <c r="J57" s="37" t="str">
        <f aca="false">IF($C57="","",INDEX(ИНФА!$J$5:$J$19,MATCH($C57,ИНФА!$I$5:$I$19,0)))</f>
        <v/>
      </c>
      <c r="K57" s="37" t="str">
        <f aca="false">IF($C57="","",INDEX(ИНФА!$K$5:$K$19,MATCH($C57,ИНФА!$I$5:$I$19,0)))</f>
        <v/>
      </c>
      <c r="L57" s="38" t="str">
        <f aca="false">IF($C57="","",INDEX(ИНФА!$O$5:$O$19,MATCH($C57,ИНФА!$I$5:$I$19,0)))</f>
        <v/>
      </c>
      <c r="M57" s="38" t="str">
        <f aca="false">IF($C57="","",INDEX(ИНФА!$P$5:$P$19,MATCH($C57,ИНФА!$I$5:$I$19,0)))</f>
        <v/>
      </c>
      <c r="N57" s="44"/>
      <c r="O57" s="48" t="n">
        <f aca="false">IF(OR($C57="",$N57=""),1,IF(AND($J57="Услуги",IFERROR(INDEX($C$5:$C$204,MATCH($N57,$A$5:$A$204,0))=INDEX(ИНФА!$L$5:$L$19,MATCH($C57,ИНФА!$I$5:$I$19,0)),FALSE()),IFERROR(INDEX($W$5:$W$204,MATCH($N57,$A$5:$A$204,0))=1,FALSE()),COUNTIF($N$5:$N57,$N57)&lt;=ИНФА!$F$16),1+ИНФА!$F$15,1))</f>
        <v>1</v>
      </c>
      <c r="P57" s="47" t="str">
        <f aca="false">IF($C57="","",IF($J57&lt;&gt;"Услуги","",IF($N57="","нет поставщика — нужен "&amp;INDEX(ИНФА!$L$5:$L$19,MATCH($C57,ИНФА!$I$5:$I$19,0)),IF($O57&gt;1,"✓ поставка работает (+50%)",IF(IFERROR(INDEX($C$5:$C$204,MATCH($N57,$A$5:$A$204,0))&lt;&gt;INDEX(ИНФА!$L$5:$L$19,MATCH($C57,ИНФА!$I$5:$I$19,0)),TRUE()),"не тот поставщик: нужен "&amp;INDEX(ИНФА!$L$5:$L$19,MATCH($C57,ИНФА!$I$5:$I$19,0)),IF(COUNTIF($N$5:$N57,$N57)&gt;ИНФА!$F$16,"поставщик перегружен","поставщик ещё не работает или продан"))))))</f>
        <v/>
      </c>
      <c r="Q57" s="44"/>
      <c r="R57" s="48" t="str">
        <f aca="false">IF($C57="","",IF($Q57="",1,IFERROR(INDEX(НАУКА!$K$5:$K$44,MATCH($Q57,НАУКА!$A$5:$A$44,0)),1)))</f>
        <v/>
      </c>
      <c r="S57" s="37" t="str">
        <f aca="false">IF($Q57="","",IFERROR(INDEX(НАУКА!$G$5:$G$44,MATCH($Q57,НАУКА!$A$5:$A$44,0)),""))</f>
        <v/>
      </c>
      <c r="T57" s="44"/>
      <c r="U57" s="44"/>
      <c r="V57" s="43"/>
      <c r="W57" s="37" t="n">
        <f aca="false">IF(OR($C57="",$D57=""),0,IF(AND($D57&lt;ИНФА!$F$5,OR($T57="",$T57&gt;=ИНФА!$F$5)),1,0))</f>
        <v>0</v>
      </c>
      <c r="X57" s="46" t="str">
        <f aca="false">IF($C57="","",INDEX(СОБЫТИЯ!$B$5:$K$8,MATCH($K57,СОБЫТИЯ!$A$5:$A$8,0),ИНФА!$F$5))</f>
        <v/>
      </c>
      <c r="Y57" s="42" t="str">
        <f aca="false">IF($C57="","",IF($W57=1,ROUND($L57*$O57*IF(AND($Q57&lt;&gt;"",$S57&lt;&gt;""),IF($S57&lt;ИНФА!$F$5,$R57,1),1)*$X57,0)-$M57+N($AF57)+N($AG57),0))</f>
        <v/>
      </c>
      <c r="Z57" s="38" t="str">
        <f aca="false">IF($C57="","",IF($T57="",INDEX(ИНФА!$M$5:$M$19,MATCH($C57,ИНФА!$I$5:$I$19,0)),0))</f>
        <v/>
      </c>
      <c r="AA57" s="38" t="str">
        <f aca="false">IF(OR($C57="",$T57=""),"",IF($V57&lt;&gt;"",$V57,INDEX(ИНФА!$N$5:$N$19,MATCH($C57,ИНФА!$I$5:$I$19,0))))</f>
        <v/>
      </c>
      <c r="AB57" s="37" t="str">
        <f aca="false">IF($C57="","",IF($T57&lt;&gt;"",IF($U57&lt;&gt;"","продано компании "&amp;$U57&amp;" в цикле "&amp;$T57,"продано Инфраструктуре в цикле "&amp;$T57),IF($D57&gt;=ИНФА!$F$5,"доход со следующего цикла","приносит доход")))</f>
        <v/>
      </c>
      <c r="AC57" s="47" t="str">
        <f aca="false">IF($C57="","",IF($F57="","",IF($E57="","укажите продавца; ",IF(OR($F57&lt;INDEX(ИНФА!$N$5:$N$19,MATCH($C57,ИНФА!$I$5:$I$19,0)),$F57&gt;INDEX(ИНФА!$M$5:$M$19,MATCH($C57,ИНФА!$I$5:$I$19,0))),"цена покупки вне коридора! ","")))&amp;IF($U57="","",IF(OR($V57="",$T57=""),"укажите цикл и цену продажи; ",IF(OR($V57&lt;INDEX(ИНФА!$N$5:$N$19,MATCH($C57,ИНФА!$I$5:$I$19,0)),$V57&gt;INDEX(ИНФА!$M$5:$M$19,MATCH($C57,ИНФА!$I$5:$I$19,0))),"цена продажи вне коридора! ","")))&amp;IF(AND($T57="",COUNTIFS($C$5:$C57,$C57,$T$5:$T57,"")&gt;INDEX(ИНФА!$Q$5:$Q$19,MATCH($C57,ИНФА!$I$5:$I$19,0))),"лотов нет! ","")&amp;IF(AND($E57&lt;&gt;"",$F57=""),"укажите цену сделки; ","")&amp;IF(AND(N($H57)&gt;0,OR($AD57="",$AD57="Профессия"),OR($H57&gt;ИНФА!$F$29,$I57&lt;INDEX(ИНФА!$N$5:$N$19,MATCH($C57,ИНФА!$I$5:$I$19,0))+ИНФА!$F$30)),"скидка больше лимита или цена ниже выкупа + 500! ","")&amp;IF($AE57="","",IF(IFERROR(INDEX($B$5:$B$204,MATCH($AE57,$A$5:$A$204,0))=$B57,TRUE()),"бизнес-пара — только со зданием другой компании; ",""))&amp;IF($Q57="","",IF(IFERROR(INDEX(НАУКА!$B$5:$B$44,MATCH($Q57,НАУКА!$A$5:$A$44,0))&lt;&gt;$B57,FALSE()),"патент другой компании — нужна лицензия или соглашение; ","")))</f>
        <v/>
      </c>
      <c r="AD57" s="44"/>
      <c r="AE57" s="44"/>
      <c r="AF57" s="38" t="str">
        <f aca="false">IF($C57="","",IF(AND($W57=1,OR($C57="Дом",$C57="Кафе")),ИНФА!$F$17*(COUNTIFS($B$5:$B57,$B57,$C$5:$C57,$C57,$W$5:$W57,1)&lt;=COUNTIFS($B$5:$B$204,$B57,$C$5:$C$204,"Парк",$W$5:$W$204,1)),0))</f>
        <v/>
      </c>
      <c r="AG57" s="38" t="str">
        <f aca="false">IF($C57="","",IF($W57=1,IF(OR(AND($AE57&lt;&gt;"",IFERROR(INDEX($W$5:$W$204,MATCH($AE57,$A$5:$A$204,0))=1,FALSE()),IFERROR(INDEX($B$5:$B$204,MATCH($AE57,$A$5:$A$204,0))&lt;&gt;$B57,FALSE())),COUNTIFS($AE$5:$AE$204,$A57,$W$5:$W$204,1,$B$5:$B$204,"&lt;&gt;"&amp;$B57)&gt;0),ИНФА!$F$31,0),0))</f>
        <v/>
      </c>
    </row>
    <row r="58" customFormat="false" ht="15" hidden="false" customHeight="false" outlineLevel="0" collapsed="false">
      <c r="A58" s="15" t="n">
        <v>54</v>
      </c>
      <c r="B58" s="44"/>
      <c r="C58" s="44"/>
      <c r="D58" s="44"/>
      <c r="E58" s="44"/>
      <c r="F58" s="43"/>
      <c r="G58" s="38" t="str">
        <f aca="false">IF($C58="","",IF($F58&lt;&gt;"",$F58,INDEX(ИНФА!$M$5:$M$19,MATCH($C58,ИНФА!$I$5:$I$19,0))))</f>
        <v/>
      </c>
      <c r="H58" s="43"/>
      <c r="I58" s="38" t="str">
        <f aca="false">IF($C58="","",G58-N(H58))</f>
        <v/>
      </c>
      <c r="J58" s="37" t="str">
        <f aca="false">IF($C58="","",INDEX(ИНФА!$J$5:$J$19,MATCH($C58,ИНФА!$I$5:$I$19,0)))</f>
        <v/>
      </c>
      <c r="K58" s="37" t="str">
        <f aca="false">IF($C58="","",INDEX(ИНФА!$K$5:$K$19,MATCH($C58,ИНФА!$I$5:$I$19,0)))</f>
        <v/>
      </c>
      <c r="L58" s="38" t="str">
        <f aca="false">IF($C58="","",INDEX(ИНФА!$O$5:$O$19,MATCH($C58,ИНФА!$I$5:$I$19,0)))</f>
        <v/>
      </c>
      <c r="M58" s="38" t="str">
        <f aca="false">IF($C58="","",INDEX(ИНФА!$P$5:$P$19,MATCH($C58,ИНФА!$I$5:$I$19,0)))</f>
        <v/>
      </c>
      <c r="N58" s="44"/>
      <c r="O58" s="48" t="n">
        <f aca="false">IF(OR($C58="",$N58=""),1,IF(AND($J58="Услуги",IFERROR(INDEX($C$5:$C$204,MATCH($N58,$A$5:$A$204,0))=INDEX(ИНФА!$L$5:$L$19,MATCH($C58,ИНФА!$I$5:$I$19,0)),FALSE()),IFERROR(INDEX($W$5:$W$204,MATCH($N58,$A$5:$A$204,0))=1,FALSE()),COUNTIF($N$5:$N58,$N58)&lt;=ИНФА!$F$16),1+ИНФА!$F$15,1))</f>
        <v>1</v>
      </c>
      <c r="P58" s="47" t="str">
        <f aca="false">IF($C58="","",IF($J58&lt;&gt;"Услуги","",IF($N58="","нет поставщика — нужен "&amp;INDEX(ИНФА!$L$5:$L$19,MATCH($C58,ИНФА!$I$5:$I$19,0)),IF($O58&gt;1,"✓ поставка работает (+50%)",IF(IFERROR(INDEX($C$5:$C$204,MATCH($N58,$A$5:$A$204,0))&lt;&gt;INDEX(ИНФА!$L$5:$L$19,MATCH($C58,ИНФА!$I$5:$I$19,0)),TRUE()),"не тот поставщик: нужен "&amp;INDEX(ИНФА!$L$5:$L$19,MATCH($C58,ИНФА!$I$5:$I$19,0)),IF(COUNTIF($N$5:$N58,$N58)&gt;ИНФА!$F$16,"поставщик перегружен","поставщик ещё не работает или продан"))))))</f>
        <v/>
      </c>
      <c r="Q58" s="44"/>
      <c r="R58" s="48" t="str">
        <f aca="false">IF($C58="","",IF($Q58="",1,IFERROR(INDEX(НАУКА!$K$5:$K$44,MATCH($Q58,НАУКА!$A$5:$A$44,0)),1)))</f>
        <v/>
      </c>
      <c r="S58" s="37" t="str">
        <f aca="false">IF($Q58="","",IFERROR(INDEX(НАУКА!$G$5:$G$44,MATCH($Q58,НАУКА!$A$5:$A$44,0)),""))</f>
        <v/>
      </c>
      <c r="T58" s="44"/>
      <c r="U58" s="44"/>
      <c r="V58" s="43"/>
      <c r="W58" s="37" t="n">
        <f aca="false">IF(OR($C58="",$D58=""),0,IF(AND($D58&lt;ИНФА!$F$5,OR($T58="",$T58&gt;=ИНФА!$F$5)),1,0))</f>
        <v>0</v>
      </c>
      <c r="X58" s="46" t="str">
        <f aca="false">IF($C58="","",INDEX(СОБЫТИЯ!$B$5:$K$8,MATCH($K58,СОБЫТИЯ!$A$5:$A$8,0),ИНФА!$F$5))</f>
        <v/>
      </c>
      <c r="Y58" s="42" t="str">
        <f aca="false">IF($C58="","",IF($W58=1,ROUND($L58*$O58*IF(AND($Q58&lt;&gt;"",$S58&lt;&gt;""),IF($S58&lt;ИНФА!$F$5,$R58,1),1)*$X58,0)-$M58+N($AF58)+N($AG58),0))</f>
        <v/>
      </c>
      <c r="Z58" s="38" t="str">
        <f aca="false">IF($C58="","",IF($T58="",INDEX(ИНФА!$M$5:$M$19,MATCH($C58,ИНФА!$I$5:$I$19,0)),0))</f>
        <v/>
      </c>
      <c r="AA58" s="38" t="str">
        <f aca="false">IF(OR($C58="",$T58=""),"",IF($V58&lt;&gt;"",$V58,INDEX(ИНФА!$N$5:$N$19,MATCH($C58,ИНФА!$I$5:$I$19,0))))</f>
        <v/>
      </c>
      <c r="AB58" s="37" t="str">
        <f aca="false">IF($C58="","",IF($T58&lt;&gt;"",IF($U58&lt;&gt;"","продано компании "&amp;$U58&amp;" в цикле "&amp;$T58,"продано Инфраструктуре в цикле "&amp;$T58),IF($D58&gt;=ИНФА!$F$5,"доход со следующего цикла","приносит доход")))</f>
        <v/>
      </c>
      <c r="AC58" s="47" t="str">
        <f aca="false">IF($C58="","",IF($F58="","",IF($E58="","укажите продавца; ",IF(OR($F58&lt;INDEX(ИНФА!$N$5:$N$19,MATCH($C58,ИНФА!$I$5:$I$19,0)),$F58&gt;INDEX(ИНФА!$M$5:$M$19,MATCH($C58,ИНФА!$I$5:$I$19,0))),"цена покупки вне коридора! ","")))&amp;IF($U58="","",IF(OR($V58="",$T58=""),"укажите цикл и цену продажи; ",IF(OR($V58&lt;INDEX(ИНФА!$N$5:$N$19,MATCH($C58,ИНФА!$I$5:$I$19,0)),$V58&gt;INDEX(ИНФА!$M$5:$M$19,MATCH($C58,ИНФА!$I$5:$I$19,0))),"цена продажи вне коридора! ","")))&amp;IF(AND($T58="",COUNTIFS($C$5:$C58,$C58,$T$5:$T58,"")&gt;INDEX(ИНФА!$Q$5:$Q$19,MATCH($C58,ИНФА!$I$5:$I$19,0))),"лотов нет! ","")&amp;IF(AND($E58&lt;&gt;"",$F58=""),"укажите цену сделки; ","")&amp;IF(AND(N($H58)&gt;0,OR($AD58="",$AD58="Профессия"),OR($H58&gt;ИНФА!$F$29,$I58&lt;INDEX(ИНФА!$N$5:$N$19,MATCH($C58,ИНФА!$I$5:$I$19,0))+ИНФА!$F$30)),"скидка больше лимита или цена ниже выкупа + 500! ","")&amp;IF($AE58="","",IF(IFERROR(INDEX($B$5:$B$204,MATCH($AE58,$A$5:$A$204,0))=$B58,TRUE()),"бизнес-пара — только со зданием другой компании; ",""))&amp;IF($Q58="","",IF(IFERROR(INDEX(НАУКА!$B$5:$B$44,MATCH($Q58,НАУКА!$A$5:$A$44,0))&lt;&gt;$B58,FALSE()),"патент другой компании — нужна лицензия или соглашение; ","")))</f>
        <v/>
      </c>
      <c r="AD58" s="44"/>
      <c r="AE58" s="44"/>
      <c r="AF58" s="38" t="str">
        <f aca="false">IF($C58="","",IF(AND($W58=1,OR($C58="Дом",$C58="Кафе")),ИНФА!$F$17*(COUNTIFS($B$5:$B58,$B58,$C$5:$C58,$C58,$W$5:$W58,1)&lt;=COUNTIFS($B$5:$B$204,$B58,$C$5:$C$204,"Парк",$W$5:$W$204,1)),0))</f>
        <v/>
      </c>
      <c r="AG58" s="38" t="str">
        <f aca="false">IF($C58="","",IF($W58=1,IF(OR(AND($AE58&lt;&gt;"",IFERROR(INDEX($W$5:$W$204,MATCH($AE58,$A$5:$A$204,0))=1,FALSE()),IFERROR(INDEX($B$5:$B$204,MATCH($AE58,$A$5:$A$204,0))&lt;&gt;$B58,FALSE())),COUNTIFS($AE$5:$AE$204,$A58,$W$5:$W$204,1,$B$5:$B$204,"&lt;&gt;"&amp;$B58)&gt;0),ИНФА!$F$31,0),0))</f>
        <v/>
      </c>
    </row>
    <row r="59" customFormat="false" ht="15" hidden="false" customHeight="false" outlineLevel="0" collapsed="false">
      <c r="A59" s="15" t="n">
        <v>55</v>
      </c>
      <c r="B59" s="44"/>
      <c r="C59" s="44"/>
      <c r="D59" s="44"/>
      <c r="E59" s="44"/>
      <c r="F59" s="43"/>
      <c r="G59" s="38" t="str">
        <f aca="false">IF($C59="","",IF($F59&lt;&gt;"",$F59,INDEX(ИНФА!$M$5:$M$19,MATCH($C59,ИНФА!$I$5:$I$19,0))))</f>
        <v/>
      </c>
      <c r="H59" s="43"/>
      <c r="I59" s="38" t="str">
        <f aca="false">IF($C59="","",G59-N(H59))</f>
        <v/>
      </c>
      <c r="J59" s="37" t="str">
        <f aca="false">IF($C59="","",INDEX(ИНФА!$J$5:$J$19,MATCH($C59,ИНФА!$I$5:$I$19,0)))</f>
        <v/>
      </c>
      <c r="K59" s="37" t="str">
        <f aca="false">IF($C59="","",INDEX(ИНФА!$K$5:$K$19,MATCH($C59,ИНФА!$I$5:$I$19,0)))</f>
        <v/>
      </c>
      <c r="L59" s="38" t="str">
        <f aca="false">IF($C59="","",INDEX(ИНФА!$O$5:$O$19,MATCH($C59,ИНФА!$I$5:$I$19,0)))</f>
        <v/>
      </c>
      <c r="M59" s="38" t="str">
        <f aca="false">IF($C59="","",INDEX(ИНФА!$P$5:$P$19,MATCH($C59,ИНФА!$I$5:$I$19,0)))</f>
        <v/>
      </c>
      <c r="N59" s="44"/>
      <c r="O59" s="48" t="n">
        <f aca="false">IF(OR($C59="",$N59=""),1,IF(AND($J59="Услуги",IFERROR(INDEX($C$5:$C$204,MATCH($N59,$A$5:$A$204,0))=INDEX(ИНФА!$L$5:$L$19,MATCH($C59,ИНФА!$I$5:$I$19,0)),FALSE()),IFERROR(INDEX($W$5:$W$204,MATCH($N59,$A$5:$A$204,0))=1,FALSE()),COUNTIF($N$5:$N59,$N59)&lt;=ИНФА!$F$16),1+ИНФА!$F$15,1))</f>
        <v>1</v>
      </c>
      <c r="P59" s="47" t="str">
        <f aca="false">IF($C59="","",IF($J59&lt;&gt;"Услуги","",IF($N59="","нет поставщика — нужен "&amp;INDEX(ИНФА!$L$5:$L$19,MATCH($C59,ИНФА!$I$5:$I$19,0)),IF($O59&gt;1,"✓ поставка работает (+50%)",IF(IFERROR(INDEX($C$5:$C$204,MATCH($N59,$A$5:$A$204,0))&lt;&gt;INDEX(ИНФА!$L$5:$L$19,MATCH($C59,ИНФА!$I$5:$I$19,0)),TRUE()),"не тот поставщик: нужен "&amp;INDEX(ИНФА!$L$5:$L$19,MATCH($C59,ИНФА!$I$5:$I$19,0)),IF(COUNTIF($N$5:$N59,$N59)&gt;ИНФА!$F$16,"поставщик перегружен","поставщик ещё не работает или продан"))))))</f>
        <v/>
      </c>
      <c r="Q59" s="44"/>
      <c r="R59" s="48" t="str">
        <f aca="false">IF($C59="","",IF($Q59="",1,IFERROR(INDEX(НАУКА!$K$5:$K$44,MATCH($Q59,НАУКА!$A$5:$A$44,0)),1)))</f>
        <v/>
      </c>
      <c r="S59" s="37" t="str">
        <f aca="false">IF($Q59="","",IFERROR(INDEX(НАУКА!$G$5:$G$44,MATCH($Q59,НАУКА!$A$5:$A$44,0)),""))</f>
        <v/>
      </c>
      <c r="T59" s="44"/>
      <c r="U59" s="44"/>
      <c r="V59" s="43"/>
      <c r="W59" s="37" t="n">
        <f aca="false">IF(OR($C59="",$D59=""),0,IF(AND($D59&lt;ИНФА!$F$5,OR($T59="",$T59&gt;=ИНФА!$F$5)),1,0))</f>
        <v>0</v>
      </c>
      <c r="X59" s="46" t="str">
        <f aca="false">IF($C59="","",INDEX(СОБЫТИЯ!$B$5:$K$8,MATCH($K59,СОБЫТИЯ!$A$5:$A$8,0),ИНФА!$F$5))</f>
        <v/>
      </c>
      <c r="Y59" s="42" t="str">
        <f aca="false">IF($C59="","",IF($W59=1,ROUND($L59*$O59*IF(AND($Q59&lt;&gt;"",$S59&lt;&gt;""),IF($S59&lt;ИНФА!$F$5,$R59,1),1)*$X59,0)-$M59+N($AF59)+N($AG59),0))</f>
        <v/>
      </c>
      <c r="Z59" s="38" t="str">
        <f aca="false">IF($C59="","",IF($T59="",INDEX(ИНФА!$M$5:$M$19,MATCH($C59,ИНФА!$I$5:$I$19,0)),0))</f>
        <v/>
      </c>
      <c r="AA59" s="38" t="str">
        <f aca="false">IF(OR($C59="",$T59=""),"",IF($V59&lt;&gt;"",$V59,INDEX(ИНФА!$N$5:$N$19,MATCH($C59,ИНФА!$I$5:$I$19,0))))</f>
        <v/>
      </c>
      <c r="AB59" s="37" t="str">
        <f aca="false">IF($C59="","",IF($T59&lt;&gt;"",IF($U59&lt;&gt;"","продано компании "&amp;$U59&amp;" в цикле "&amp;$T59,"продано Инфраструктуре в цикле "&amp;$T59),IF($D59&gt;=ИНФА!$F$5,"доход со следующего цикла","приносит доход")))</f>
        <v/>
      </c>
      <c r="AC59" s="47" t="str">
        <f aca="false">IF($C59="","",IF($F59="","",IF($E59="","укажите продавца; ",IF(OR($F59&lt;INDEX(ИНФА!$N$5:$N$19,MATCH($C59,ИНФА!$I$5:$I$19,0)),$F59&gt;INDEX(ИНФА!$M$5:$M$19,MATCH($C59,ИНФА!$I$5:$I$19,0))),"цена покупки вне коридора! ","")))&amp;IF($U59="","",IF(OR($V59="",$T59=""),"укажите цикл и цену продажи; ",IF(OR($V59&lt;INDEX(ИНФА!$N$5:$N$19,MATCH($C59,ИНФА!$I$5:$I$19,0)),$V59&gt;INDEX(ИНФА!$M$5:$M$19,MATCH($C59,ИНФА!$I$5:$I$19,0))),"цена продажи вне коридора! ","")))&amp;IF(AND($T59="",COUNTIFS($C$5:$C59,$C59,$T$5:$T59,"")&gt;INDEX(ИНФА!$Q$5:$Q$19,MATCH($C59,ИНФА!$I$5:$I$19,0))),"лотов нет! ","")&amp;IF(AND($E59&lt;&gt;"",$F59=""),"укажите цену сделки; ","")&amp;IF(AND(N($H59)&gt;0,OR($AD59="",$AD59="Профессия"),OR($H59&gt;ИНФА!$F$29,$I59&lt;INDEX(ИНФА!$N$5:$N$19,MATCH($C59,ИНФА!$I$5:$I$19,0))+ИНФА!$F$30)),"скидка больше лимита или цена ниже выкупа + 500! ","")&amp;IF($AE59="","",IF(IFERROR(INDEX($B$5:$B$204,MATCH($AE59,$A$5:$A$204,0))=$B59,TRUE()),"бизнес-пара — только со зданием другой компании; ",""))&amp;IF($Q59="","",IF(IFERROR(INDEX(НАУКА!$B$5:$B$44,MATCH($Q59,НАУКА!$A$5:$A$44,0))&lt;&gt;$B59,FALSE()),"патент другой компании — нужна лицензия или соглашение; ","")))</f>
        <v/>
      </c>
      <c r="AD59" s="44"/>
      <c r="AE59" s="44"/>
      <c r="AF59" s="38" t="str">
        <f aca="false">IF($C59="","",IF(AND($W59=1,OR($C59="Дом",$C59="Кафе")),ИНФА!$F$17*(COUNTIFS($B$5:$B59,$B59,$C$5:$C59,$C59,$W$5:$W59,1)&lt;=COUNTIFS($B$5:$B$204,$B59,$C$5:$C$204,"Парк",$W$5:$W$204,1)),0))</f>
        <v/>
      </c>
      <c r="AG59" s="38" t="str">
        <f aca="false">IF($C59="","",IF($W59=1,IF(OR(AND($AE59&lt;&gt;"",IFERROR(INDEX($W$5:$W$204,MATCH($AE59,$A$5:$A$204,0))=1,FALSE()),IFERROR(INDEX($B$5:$B$204,MATCH($AE59,$A$5:$A$204,0))&lt;&gt;$B59,FALSE())),COUNTIFS($AE$5:$AE$204,$A59,$W$5:$W$204,1,$B$5:$B$204,"&lt;&gt;"&amp;$B59)&gt;0),ИНФА!$F$31,0),0))</f>
        <v/>
      </c>
    </row>
    <row r="60" customFormat="false" ht="15" hidden="false" customHeight="false" outlineLevel="0" collapsed="false">
      <c r="A60" s="15" t="n">
        <v>56</v>
      </c>
      <c r="B60" s="44"/>
      <c r="C60" s="44"/>
      <c r="D60" s="44"/>
      <c r="E60" s="44"/>
      <c r="F60" s="43"/>
      <c r="G60" s="38" t="str">
        <f aca="false">IF($C60="","",IF($F60&lt;&gt;"",$F60,INDEX(ИНФА!$M$5:$M$19,MATCH($C60,ИНФА!$I$5:$I$19,0))))</f>
        <v/>
      </c>
      <c r="H60" s="43"/>
      <c r="I60" s="38" t="str">
        <f aca="false">IF($C60="","",G60-N(H60))</f>
        <v/>
      </c>
      <c r="J60" s="37" t="str">
        <f aca="false">IF($C60="","",INDEX(ИНФА!$J$5:$J$19,MATCH($C60,ИНФА!$I$5:$I$19,0)))</f>
        <v/>
      </c>
      <c r="K60" s="37" t="str">
        <f aca="false">IF($C60="","",INDEX(ИНФА!$K$5:$K$19,MATCH($C60,ИНФА!$I$5:$I$19,0)))</f>
        <v/>
      </c>
      <c r="L60" s="38" t="str">
        <f aca="false">IF($C60="","",INDEX(ИНФА!$O$5:$O$19,MATCH($C60,ИНФА!$I$5:$I$19,0)))</f>
        <v/>
      </c>
      <c r="M60" s="38" t="str">
        <f aca="false">IF($C60="","",INDEX(ИНФА!$P$5:$P$19,MATCH($C60,ИНФА!$I$5:$I$19,0)))</f>
        <v/>
      </c>
      <c r="N60" s="44"/>
      <c r="O60" s="48" t="n">
        <f aca="false">IF(OR($C60="",$N60=""),1,IF(AND($J60="Услуги",IFERROR(INDEX($C$5:$C$204,MATCH($N60,$A$5:$A$204,0))=INDEX(ИНФА!$L$5:$L$19,MATCH($C60,ИНФА!$I$5:$I$19,0)),FALSE()),IFERROR(INDEX($W$5:$W$204,MATCH($N60,$A$5:$A$204,0))=1,FALSE()),COUNTIF($N$5:$N60,$N60)&lt;=ИНФА!$F$16),1+ИНФА!$F$15,1))</f>
        <v>1</v>
      </c>
      <c r="P60" s="47" t="str">
        <f aca="false">IF($C60="","",IF($J60&lt;&gt;"Услуги","",IF($N60="","нет поставщика — нужен "&amp;INDEX(ИНФА!$L$5:$L$19,MATCH($C60,ИНФА!$I$5:$I$19,0)),IF($O60&gt;1,"✓ поставка работает (+50%)",IF(IFERROR(INDEX($C$5:$C$204,MATCH($N60,$A$5:$A$204,0))&lt;&gt;INDEX(ИНФА!$L$5:$L$19,MATCH($C60,ИНФА!$I$5:$I$19,0)),TRUE()),"не тот поставщик: нужен "&amp;INDEX(ИНФА!$L$5:$L$19,MATCH($C60,ИНФА!$I$5:$I$19,0)),IF(COUNTIF($N$5:$N60,$N60)&gt;ИНФА!$F$16,"поставщик перегружен","поставщик ещё не работает или продан"))))))</f>
        <v/>
      </c>
      <c r="Q60" s="44"/>
      <c r="R60" s="48" t="str">
        <f aca="false">IF($C60="","",IF($Q60="",1,IFERROR(INDEX(НАУКА!$K$5:$K$44,MATCH($Q60,НАУКА!$A$5:$A$44,0)),1)))</f>
        <v/>
      </c>
      <c r="S60" s="37" t="str">
        <f aca="false">IF($Q60="","",IFERROR(INDEX(НАУКА!$G$5:$G$44,MATCH($Q60,НАУКА!$A$5:$A$44,0)),""))</f>
        <v/>
      </c>
      <c r="T60" s="44"/>
      <c r="U60" s="44"/>
      <c r="V60" s="43"/>
      <c r="W60" s="37" t="n">
        <f aca="false">IF(OR($C60="",$D60=""),0,IF(AND($D60&lt;ИНФА!$F$5,OR($T60="",$T60&gt;=ИНФА!$F$5)),1,0))</f>
        <v>0</v>
      </c>
      <c r="X60" s="46" t="str">
        <f aca="false">IF($C60="","",INDEX(СОБЫТИЯ!$B$5:$K$8,MATCH($K60,СОБЫТИЯ!$A$5:$A$8,0),ИНФА!$F$5))</f>
        <v/>
      </c>
      <c r="Y60" s="42" t="str">
        <f aca="false">IF($C60="","",IF($W60=1,ROUND($L60*$O60*IF(AND($Q60&lt;&gt;"",$S60&lt;&gt;""),IF($S60&lt;ИНФА!$F$5,$R60,1),1)*$X60,0)-$M60+N($AF60)+N($AG60),0))</f>
        <v/>
      </c>
      <c r="Z60" s="38" t="str">
        <f aca="false">IF($C60="","",IF($T60="",INDEX(ИНФА!$M$5:$M$19,MATCH($C60,ИНФА!$I$5:$I$19,0)),0))</f>
        <v/>
      </c>
      <c r="AA60" s="38" t="str">
        <f aca="false">IF(OR($C60="",$T60=""),"",IF($V60&lt;&gt;"",$V60,INDEX(ИНФА!$N$5:$N$19,MATCH($C60,ИНФА!$I$5:$I$19,0))))</f>
        <v/>
      </c>
      <c r="AB60" s="37" t="str">
        <f aca="false">IF($C60="","",IF($T60&lt;&gt;"",IF($U60&lt;&gt;"","продано компании "&amp;$U60&amp;" в цикле "&amp;$T60,"продано Инфраструктуре в цикле "&amp;$T60),IF($D60&gt;=ИНФА!$F$5,"доход со следующего цикла","приносит доход")))</f>
        <v/>
      </c>
      <c r="AC60" s="47" t="str">
        <f aca="false">IF($C60="","",IF($F60="","",IF($E60="","укажите продавца; ",IF(OR($F60&lt;INDEX(ИНФА!$N$5:$N$19,MATCH($C60,ИНФА!$I$5:$I$19,0)),$F60&gt;INDEX(ИНФА!$M$5:$M$19,MATCH($C60,ИНФА!$I$5:$I$19,0))),"цена покупки вне коридора! ","")))&amp;IF($U60="","",IF(OR($V60="",$T60=""),"укажите цикл и цену продажи; ",IF(OR($V60&lt;INDEX(ИНФА!$N$5:$N$19,MATCH($C60,ИНФА!$I$5:$I$19,0)),$V60&gt;INDEX(ИНФА!$M$5:$M$19,MATCH($C60,ИНФА!$I$5:$I$19,0))),"цена продажи вне коридора! ","")))&amp;IF(AND($T60="",COUNTIFS($C$5:$C60,$C60,$T$5:$T60,"")&gt;INDEX(ИНФА!$Q$5:$Q$19,MATCH($C60,ИНФА!$I$5:$I$19,0))),"лотов нет! ","")&amp;IF(AND($E60&lt;&gt;"",$F60=""),"укажите цену сделки; ","")&amp;IF(AND(N($H60)&gt;0,OR($AD60="",$AD60="Профессия"),OR($H60&gt;ИНФА!$F$29,$I60&lt;INDEX(ИНФА!$N$5:$N$19,MATCH($C60,ИНФА!$I$5:$I$19,0))+ИНФА!$F$30)),"скидка больше лимита или цена ниже выкупа + 500! ","")&amp;IF($AE60="","",IF(IFERROR(INDEX($B$5:$B$204,MATCH($AE60,$A$5:$A$204,0))=$B60,TRUE()),"бизнес-пара — только со зданием другой компании; ",""))&amp;IF($Q60="","",IF(IFERROR(INDEX(НАУКА!$B$5:$B$44,MATCH($Q60,НАУКА!$A$5:$A$44,0))&lt;&gt;$B60,FALSE()),"патент другой компании — нужна лицензия или соглашение; ","")))</f>
        <v/>
      </c>
      <c r="AD60" s="44"/>
      <c r="AE60" s="44"/>
      <c r="AF60" s="38" t="str">
        <f aca="false">IF($C60="","",IF(AND($W60=1,OR($C60="Дом",$C60="Кафе")),ИНФА!$F$17*(COUNTIFS($B$5:$B60,$B60,$C$5:$C60,$C60,$W$5:$W60,1)&lt;=COUNTIFS($B$5:$B$204,$B60,$C$5:$C$204,"Парк",$W$5:$W$204,1)),0))</f>
        <v/>
      </c>
      <c r="AG60" s="38" t="str">
        <f aca="false">IF($C60="","",IF($W60=1,IF(OR(AND($AE60&lt;&gt;"",IFERROR(INDEX($W$5:$W$204,MATCH($AE60,$A$5:$A$204,0))=1,FALSE()),IFERROR(INDEX($B$5:$B$204,MATCH($AE60,$A$5:$A$204,0))&lt;&gt;$B60,FALSE())),COUNTIFS($AE$5:$AE$204,$A60,$W$5:$W$204,1,$B$5:$B$204,"&lt;&gt;"&amp;$B60)&gt;0),ИНФА!$F$31,0),0))</f>
        <v/>
      </c>
    </row>
    <row r="61" customFormat="false" ht="15" hidden="false" customHeight="false" outlineLevel="0" collapsed="false">
      <c r="A61" s="15" t="n">
        <v>57</v>
      </c>
      <c r="B61" s="44"/>
      <c r="C61" s="44"/>
      <c r="D61" s="44"/>
      <c r="E61" s="44"/>
      <c r="F61" s="43"/>
      <c r="G61" s="38" t="str">
        <f aca="false">IF($C61="","",IF($F61&lt;&gt;"",$F61,INDEX(ИНФА!$M$5:$M$19,MATCH($C61,ИНФА!$I$5:$I$19,0))))</f>
        <v/>
      </c>
      <c r="H61" s="43"/>
      <c r="I61" s="38" t="str">
        <f aca="false">IF($C61="","",G61-N(H61))</f>
        <v/>
      </c>
      <c r="J61" s="37" t="str">
        <f aca="false">IF($C61="","",INDEX(ИНФА!$J$5:$J$19,MATCH($C61,ИНФА!$I$5:$I$19,0)))</f>
        <v/>
      </c>
      <c r="K61" s="37" t="str">
        <f aca="false">IF($C61="","",INDEX(ИНФА!$K$5:$K$19,MATCH($C61,ИНФА!$I$5:$I$19,0)))</f>
        <v/>
      </c>
      <c r="L61" s="38" t="str">
        <f aca="false">IF($C61="","",INDEX(ИНФА!$O$5:$O$19,MATCH($C61,ИНФА!$I$5:$I$19,0)))</f>
        <v/>
      </c>
      <c r="M61" s="38" t="str">
        <f aca="false">IF($C61="","",INDEX(ИНФА!$P$5:$P$19,MATCH($C61,ИНФА!$I$5:$I$19,0)))</f>
        <v/>
      </c>
      <c r="N61" s="44"/>
      <c r="O61" s="48" t="n">
        <f aca="false">IF(OR($C61="",$N61=""),1,IF(AND($J61="Услуги",IFERROR(INDEX($C$5:$C$204,MATCH($N61,$A$5:$A$204,0))=INDEX(ИНФА!$L$5:$L$19,MATCH($C61,ИНФА!$I$5:$I$19,0)),FALSE()),IFERROR(INDEX($W$5:$W$204,MATCH($N61,$A$5:$A$204,0))=1,FALSE()),COUNTIF($N$5:$N61,$N61)&lt;=ИНФА!$F$16),1+ИНФА!$F$15,1))</f>
        <v>1</v>
      </c>
      <c r="P61" s="47" t="str">
        <f aca="false">IF($C61="","",IF($J61&lt;&gt;"Услуги","",IF($N61="","нет поставщика — нужен "&amp;INDEX(ИНФА!$L$5:$L$19,MATCH($C61,ИНФА!$I$5:$I$19,0)),IF($O61&gt;1,"✓ поставка работает (+50%)",IF(IFERROR(INDEX($C$5:$C$204,MATCH($N61,$A$5:$A$204,0))&lt;&gt;INDEX(ИНФА!$L$5:$L$19,MATCH($C61,ИНФА!$I$5:$I$19,0)),TRUE()),"не тот поставщик: нужен "&amp;INDEX(ИНФА!$L$5:$L$19,MATCH($C61,ИНФА!$I$5:$I$19,0)),IF(COUNTIF($N$5:$N61,$N61)&gt;ИНФА!$F$16,"поставщик перегружен","поставщик ещё не работает или продан"))))))</f>
        <v/>
      </c>
      <c r="Q61" s="44"/>
      <c r="R61" s="48" t="str">
        <f aca="false">IF($C61="","",IF($Q61="",1,IFERROR(INDEX(НАУКА!$K$5:$K$44,MATCH($Q61,НАУКА!$A$5:$A$44,0)),1)))</f>
        <v/>
      </c>
      <c r="S61" s="37" t="str">
        <f aca="false">IF($Q61="","",IFERROR(INDEX(НАУКА!$G$5:$G$44,MATCH($Q61,НАУКА!$A$5:$A$44,0)),""))</f>
        <v/>
      </c>
      <c r="T61" s="44"/>
      <c r="U61" s="44"/>
      <c r="V61" s="43"/>
      <c r="W61" s="37" t="n">
        <f aca="false">IF(OR($C61="",$D61=""),0,IF(AND($D61&lt;ИНФА!$F$5,OR($T61="",$T61&gt;=ИНФА!$F$5)),1,0))</f>
        <v>0</v>
      </c>
      <c r="X61" s="46" t="str">
        <f aca="false">IF($C61="","",INDEX(СОБЫТИЯ!$B$5:$K$8,MATCH($K61,СОБЫТИЯ!$A$5:$A$8,0),ИНФА!$F$5))</f>
        <v/>
      </c>
      <c r="Y61" s="42" t="str">
        <f aca="false">IF($C61="","",IF($W61=1,ROUND($L61*$O61*IF(AND($Q61&lt;&gt;"",$S61&lt;&gt;""),IF($S61&lt;ИНФА!$F$5,$R61,1),1)*$X61,0)-$M61+N($AF61)+N($AG61),0))</f>
        <v/>
      </c>
      <c r="Z61" s="38" t="str">
        <f aca="false">IF($C61="","",IF($T61="",INDEX(ИНФА!$M$5:$M$19,MATCH($C61,ИНФА!$I$5:$I$19,0)),0))</f>
        <v/>
      </c>
      <c r="AA61" s="38" t="str">
        <f aca="false">IF(OR($C61="",$T61=""),"",IF($V61&lt;&gt;"",$V61,INDEX(ИНФА!$N$5:$N$19,MATCH($C61,ИНФА!$I$5:$I$19,0))))</f>
        <v/>
      </c>
      <c r="AB61" s="37" t="str">
        <f aca="false">IF($C61="","",IF($T61&lt;&gt;"",IF($U61&lt;&gt;"","продано компании "&amp;$U61&amp;" в цикле "&amp;$T61,"продано Инфраструктуре в цикле "&amp;$T61),IF($D61&gt;=ИНФА!$F$5,"доход со следующего цикла","приносит доход")))</f>
        <v/>
      </c>
      <c r="AC61" s="47" t="str">
        <f aca="false">IF($C61="","",IF($F61="","",IF($E61="","укажите продавца; ",IF(OR($F61&lt;INDEX(ИНФА!$N$5:$N$19,MATCH($C61,ИНФА!$I$5:$I$19,0)),$F61&gt;INDEX(ИНФА!$M$5:$M$19,MATCH($C61,ИНФА!$I$5:$I$19,0))),"цена покупки вне коридора! ","")))&amp;IF($U61="","",IF(OR($V61="",$T61=""),"укажите цикл и цену продажи; ",IF(OR($V61&lt;INDEX(ИНФА!$N$5:$N$19,MATCH($C61,ИНФА!$I$5:$I$19,0)),$V61&gt;INDEX(ИНФА!$M$5:$M$19,MATCH($C61,ИНФА!$I$5:$I$19,0))),"цена продажи вне коридора! ","")))&amp;IF(AND($T61="",COUNTIFS($C$5:$C61,$C61,$T$5:$T61,"")&gt;INDEX(ИНФА!$Q$5:$Q$19,MATCH($C61,ИНФА!$I$5:$I$19,0))),"лотов нет! ","")&amp;IF(AND($E61&lt;&gt;"",$F61=""),"укажите цену сделки; ","")&amp;IF(AND(N($H61)&gt;0,OR($AD61="",$AD61="Профессия"),OR($H61&gt;ИНФА!$F$29,$I61&lt;INDEX(ИНФА!$N$5:$N$19,MATCH($C61,ИНФА!$I$5:$I$19,0))+ИНФА!$F$30)),"скидка больше лимита или цена ниже выкупа + 500! ","")&amp;IF($AE61="","",IF(IFERROR(INDEX($B$5:$B$204,MATCH($AE61,$A$5:$A$204,0))=$B61,TRUE()),"бизнес-пара — только со зданием другой компании; ",""))&amp;IF($Q61="","",IF(IFERROR(INDEX(НАУКА!$B$5:$B$44,MATCH($Q61,НАУКА!$A$5:$A$44,0))&lt;&gt;$B61,FALSE()),"патент другой компании — нужна лицензия или соглашение; ","")))</f>
        <v/>
      </c>
      <c r="AD61" s="44"/>
      <c r="AE61" s="44"/>
      <c r="AF61" s="38" t="str">
        <f aca="false">IF($C61="","",IF(AND($W61=1,OR($C61="Дом",$C61="Кафе")),ИНФА!$F$17*(COUNTIFS($B$5:$B61,$B61,$C$5:$C61,$C61,$W$5:$W61,1)&lt;=COUNTIFS($B$5:$B$204,$B61,$C$5:$C$204,"Парк",$W$5:$W$204,1)),0))</f>
        <v/>
      </c>
      <c r="AG61" s="38" t="str">
        <f aca="false">IF($C61="","",IF($W61=1,IF(OR(AND($AE61&lt;&gt;"",IFERROR(INDEX($W$5:$W$204,MATCH($AE61,$A$5:$A$204,0))=1,FALSE()),IFERROR(INDEX($B$5:$B$204,MATCH($AE61,$A$5:$A$204,0))&lt;&gt;$B61,FALSE())),COUNTIFS($AE$5:$AE$204,$A61,$W$5:$W$204,1,$B$5:$B$204,"&lt;&gt;"&amp;$B61)&gt;0),ИНФА!$F$31,0),0))</f>
        <v/>
      </c>
    </row>
    <row r="62" customFormat="false" ht="15" hidden="false" customHeight="false" outlineLevel="0" collapsed="false">
      <c r="A62" s="15" t="n">
        <v>58</v>
      </c>
      <c r="B62" s="44"/>
      <c r="C62" s="44"/>
      <c r="D62" s="44"/>
      <c r="E62" s="44"/>
      <c r="F62" s="43"/>
      <c r="G62" s="38" t="str">
        <f aca="false">IF($C62="","",IF($F62&lt;&gt;"",$F62,INDEX(ИНФА!$M$5:$M$19,MATCH($C62,ИНФА!$I$5:$I$19,0))))</f>
        <v/>
      </c>
      <c r="H62" s="43"/>
      <c r="I62" s="38" t="str">
        <f aca="false">IF($C62="","",G62-N(H62))</f>
        <v/>
      </c>
      <c r="J62" s="37" t="str">
        <f aca="false">IF($C62="","",INDEX(ИНФА!$J$5:$J$19,MATCH($C62,ИНФА!$I$5:$I$19,0)))</f>
        <v/>
      </c>
      <c r="K62" s="37" t="str">
        <f aca="false">IF($C62="","",INDEX(ИНФА!$K$5:$K$19,MATCH($C62,ИНФА!$I$5:$I$19,0)))</f>
        <v/>
      </c>
      <c r="L62" s="38" t="str">
        <f aca="false">IF($C62="","",INDEX(ИНФА!$O$5:$O$19,MATCH($C62,ИНФА!$I$5:$I$19,0)))</f>
        <v/>
      </c>
      <c r="M62" s="38" t="str">
        <f aca="false">IF($C62="","",INDEX(ИНФА!$P$5:$P$19,MATCH($C62,ИНФА!$I$5:$I$19,0)))</f>
        <v/>
      </c>
      <c r="N62" s="44"/>
      <c r="O62" s="48" t="n">
        <f aca="false">IF(OR($C62="",$N62=""),1,IF(AND($J62="Услуги",IFERROR(INDEX($C$5:$C$204,MATCH($N62,$A$5:$A$204,0))=INDEX(ИНФА!$L$5:$L$19,MATCH($C62,ИНФА!$I$5:$I$19,0)),FALSE()),IFERROR(INDEX($W$5:$W$204,MATCH($N62,$A$5:$A$204,0))=1,FALSE()),COUNTIF($N$5:$N62,$N62)&lt;=ИНФА!$F$16),1+ИНФА!$F$15,1))</f>
        <v>1</v>
      </c>
      <c r="P62" s="47" t="str">
        <f aca="false">IF($C62="","",IF($J62&lt;&gt;"Услуги","",IF($N62="","нет поставщика — нужен "&amp;INDEX(ИНФА!$L$5:$L$19,MATCH($C62,ИНФА!$I$5:$I$19,0)),IF($O62&gt;1,"✓ поставка работает (+50%)",IF(IFERROR(INDEX($C$5:$C$204,MATCH($N62,$A$5:$A$204,0))&lt;&gt;INDEX(ИНФА!$L$5:$L$19,MATCH($C62,ИНФА!$I$5:$I$19,0)),TRUE()),"не тот поставщик: нужен "&amp;INDEX(ИНФА!$L$5:$L$19,MATCH($C62,ИНФА!$I$5:$I$19,0)),IF(COUNTIF($N$5:$N62,$N62)&gt;ИНФА!$F$16,"поставщик перегружен","поставщик ещё не работает или продан"))))))</f>
        <v/>
      </c>
      <c r="Q62" s="44"/>
      <c r="R62" s="48" t="str">
        <f aca="false">IF($C62="","",IF($Q62="",1,IFERROR(INDEX(НАУКА!$K$5:$K$44,MATCH($Q62,НАУКА!$A$5:$A$44,0)),1)))</f>
        <v/>
      </c>
      <c r="S62" s="37" t="str">
        <f aca="false">IF($Q62="","",IFERROR(INDEX(НАУКА!$G$5:$G$44,MATCH($Q62,НАУКА!$A$5:$A$44,0)),""))</f>
        <v/>
      </c>
      <c r="T62" s="44"/>
      <c r="U62" s="44"/>
      <c r="V62" s="43"/>
      <c r="W62" s="37" t="n">
        <f aca="false">IF(OR($C62="",$D62=""),0,IF(AND($D62&lt;ИНФА!$F$5,OR($T62="",$T62&gt;=ИНФА!$F$5)),1,0))</f>
        <v>0</v>
      </c>
      <c r="X62" s="46" t="str">
        <f aca="false">IF($C62="","",INDEX(СОБЫТИЯ!$B$5:$K$8,MATCH($K62,СОБЫТИЯ!$A$5:$A$8,0),ИНФА!$F$5))</f>
        <v/>
      </c>
      <c r="Y62" s="42" t="str">
        <f aca="false">IF($C62="","",IF($W62=1,ROUND($L62*$O62*IF(AND($Q62&lt;&gt;"",$S62&lt;&gt;""),IF($S62&lt;ИНФА!$F$5,$R62,1),1)*$X62,0)-$M62+N($AF62)+N($AG62),0))</f>
        <v/>
      </c>
      <c r="Z62" s="38" t="str">
        <f aca="false">IF($C62="","",IF($T62="",INDEX(ИНФА!$M$5:$M$19,MATCH($C62,ИНФА!$I$5:$I$19,0)),0))</f>
        <v/>
      </c>
      <c r="AA62" s="38" t="str">
        <f aca="false">IF(OR($C62="",$T62=""),"",IF($V62&lt;&gt;"",$V62,INDEX(ИНФА!$N$5:$N$19,MATCH($C62,ИНФА!$I$5:$I$19,0))))</f>
        <v/>
      </c>
      <c r="AB62" s="37" t="str">
        <f aca="false">IF($C62="","",IF($T62&lt;&gt;"",IF($U62&lt;&gt;"","продано компании "&amp;$U62&amp;" в цикле "&amp;$T62,"продано Инфраструктуре в цикле "&amp;$T62),IF($D62&gt;=ИНФА!$F$5,"доход со следующего цикла","приносит доход")))</f>
        <v/>
      </c>
      <c r="AC62" s="47" t="str">
        <f aca="false">IF($C62="","",IF($F62="","",IF($E62="","укажите продавца; ",IF(OR($F62&lt;INDEX(ИНФА!$N$5:$N$19,MATCH($C62,ИНФА!$I$5:$I$19,0)),$F62&gt;INDEX(ИНФА!$M$5:$M$19,MATCH($C62,ИНФА!$I$5:$I$19,0))),"цена покупки вне коридора! ","")))&amp;IF($U62="","",IF(OR($V62="",$T62=""),"укажите цикл и цену продажи; ",IF(OR($V62&lt;INDEX(ИНФА!$N$5:$N$19,MATCH($C62,ИНФА!$I$5:$I$19,0)),$V62&gt;INDEX(ИНФА!$M$5:$M$19,MATCH($C62,ИНФА!$I$5:$I$19,0))),"цена продажи вне коридора! ","")))&amp;IF(AND($T62="",COUNTIFS($C$5:$C62,$C62,$T$5:$T62,"")&gt;INDEX(ИНФА!$Q$5:$Q$19,MATCH($C62,ИНФА!$I$5:$I$19,0))),"лотов нет! ","")&amp;IF(AND($E62&lt;&gt;"",$F62=""),"укажите цену сделки; ","")&amp;IF(AND(N($H62)&gt;0,OR($AD62="",$AD62="Профессия"),OR($H62&gt;ИНФА!$F$29,$I62&lt;INDEX(ИНФА!$N$5:$N$19,MATCH($C62,ИНФА!$I$5:$I$19,0))+ИНФА!$F$30)),"скидка больше лимита или цена ниже выкупа + 500! ","")&amp;IF($AE62="","",IF(IFERROR(INDEX($B$5:$B$204,MATCH($AE62,$A$5:$A$204,0))=$B62,TRUE()),"бизнес-пара — только со зданием другой компании; ",""))&amp;IF($Q62="","",IF(IFERROR(INDEX(НАУКА!$B$5:$B$44,MATCH($Q62,НАУКА!$A$5:$A$44,0))&lt;&gt;$B62,FALSE()),"патент другой компании — нужна лицензия или соглашение; ","")))</f>
        <v/>
      </c>
      <c r="AD62" s="44"/>
      <c r="AE62" s="44"/>
      <c r="AF62" s="38" t="str">
        <f aca="false">IF($C62="","",IF(AND($W62=1,OR($C62="Дом",$C62="Кафе")),ИНФА!$F$17*(COUNTIFS($B$5:$B62,$B62,$C$5:$C62,$C62,$W$5:$W62,1)&lt;=COUNTIFS($B$5:$B$204,$B62,$C$5:$C$204,"Парк",$W$5:$W$204,1)),0))</f>
        <v/>
      </c>
      <c r="AG62" s="38" t="str">
        <f aca="false">IF($C62="","",IF($W62=1,IF(OR(AND($AE62&lt;&gt;"",IFERROR(INDEX($W$5:$W$204,MATCH($AE62,$A$5:$A$204,0))=1,FALSE()),IFERROR(INDEX($B$5:$B$204,MATCH($AE62,$A$5:$A$204,0))&lt;&gt;$B62,FALSE())),COUNTIFS($AE$5:$AE$204,$A62,$W$5:$W$204,1,$B$5:$B$204,"&lt;&gt;"&amp;$B62)&gt;0),ИНФА!$F$31,0),0))</f>
        <v/>
      </c>
    </row>
    <row r="63" customFormat="false" ht="15" hidden="false" customHeight="false" outlineLevel="0" collapsed="false">
      <c r="A63" s="15" t="n">
        <v>59</v>
      </c>
      <c r="B63" s="44"/>
      <c r="C63" s="44"/>
      <c r="D63" s="44"/>
      <c r="E63" s="44"/>
      <c r="F63" s="43"/>
      <c r="G63" s="38" t="str">
        <f aca="false">IF($C63="","",IF($F63&lt;&gt;"",$F63,INDEX(ИНФА!$M$5:$M$19,MATCH($C63,ИНФА!$I$5:$I$19,0))))</f>
        <v/>
      </c>
      <c r="H63" s="43"/>
      <c r="I63" s="38" t="str">
        <f aca="false">IF($C63="","",G63-N(H63))</f>
        <v/>
      </c>
      <c r="J63" s="37" t="str">
        <f aca="false">IF($C63="","",INDEX(ИНФА!$J$5:$J$19,MATCH($C63,ИНФА!$I$5:$I$19,0)))</f>
        <v/>
      </c>
      <c r="K63" s="37" t="str">
        <f aca="false">IF($C63="","",INDEX(ИНФА!$K$5:$K$19,MATCH($C63,ИНФА!$I$5:$I$19,0)))</f>
        <v/>
      </c>
      <c r="L63" s="38" t="str">
        <f aca="false">IF($C63="","",INDEX(ИНФА!$O$5:$O$19,MATCH($C63,ИНФА!$I$5:$I$19,0)))</f>
        <v/>
      </c>
      <c r="M63" s="38" t="str">
        <f aca="false">IF($C63="","",INDEX(ИНФА!$P$5:$P$19,MATCH($C63,ИНФА!$I$5:$I$19,0)))</f>
        <v/>
      </c>
      <c r="N63" s="44"/>
      <c r="O63" s="48" t="n">
        <f aca="false">IF(OR($C63="",$N63=""),1,IF(AND($J63="Услуги",IFERROR(INDEX($C$5:$C$204,MATCH($N63,$A$5:$A$204,0))=INDEX(ИНФА!$L$5:$L$19,MATCH($C63,ИНФА!$I$5:$I$19,0)),FALSE()),IFERROR(INDEX($W$5:$W$204,MATCH($N63,$A$5:$A$204,0))=1,FALSE()),COUNTIF($N$5:$N63,$N63)&lt;=ИНФА!$F$16),1+ИНФА!$F$15,1))</f>
        <v>1</v>
      </c>
      <c r="P63" s="47" t="str">
        <f aca="false">IF($C63="","",IF($J63&lt;&gt;"Услуги","",IF($N63="","нет поставщика — нужен "&amp;INDEX(ИНФА!$L$5:$L$19,MATCH($C63,ИНФА!$I$5:$I$19,0)),IF($O63&gt;1,"✓ поставка работает (+50%)",IF(IFERROR(INDEX($C$5:$C$204,MATCH($N63,$A$5:$A$204,0))&lt;&gt;INDEX(ИНФА!$L$5:$L$19,MATCH($C63,ИНФА!$I$5:$I$19,0)),TRUE()),"не тот поставщик: нужен "&amp;INDEX(ИНФА!$L$5:$L$19,MATCH($C63,ИНФА!$I$5:$I$19,0)),IF(COUNTIF($N$5:$N63,$N63)&gt;ИНФА!$F$16,"поставщик перегружен","поставщик ещё не работает или продан"))))))</f>
        <v/>
      </c>
      <c r="Q63" s="44"/>
      <c r="R63" s="48" t="str">
        <f aca="false">IF($C63="","",IF($Q63="",1,IFERROR(INDEX(НАУКА!$K$5:$K$44,MATCH($Q63,НАУКА!$A$5:$A$44,0)),1)))</f>
        <v/>
      </c>
      <c r="S63" s="37" t="str">
        <f aca="false">IF($Q63="","",IFERROR(INDEX(НАУКА!$G$5:$G$44,MATCH($Q63,НАУКА!$A$5:$A$44,0)),""))</f>
        <v/>
      </c>
      <c r="T63" s="44"/>
      <c r="U63" s="44"/>
      <c r="V63" s="43"/>
      <c r="W63" s="37" t="n">
        <f aca="false">IF(OR($C63="",$D63=""),0,IF(AND($D63&lt;ИНФА!$F$5,OR($T63="",$T63&gt;=ИНФА!$F$5)),1,0))</f>
        <v>0</v>
      </c>
      <c r="X63" s="46" t="str">
        <f aca="false">IF($C63="","",INDEX(СОБЫТИЯ!$B$5:$K$8,MATCH($K63,СОБЫТИЯ!$A$5:$A$8,0),ИНФА!$F$5))</f>
        <v/>
      </c>
      <c r="Y63" s="42" t="str">
        <f aca="false">IF($C63="","",IF($W63=1,ROUND($L63*$O63*IF(AND($Q63&lt;&gt;"",$S63&lt;&gt;""),IF($S63&lt;ИНФА!$F$5,$R63,1),1)*$X63,0)-$M63+N($AF63)+N($AG63),0))</f>
        <v/>
      </c>
      <c r="Z63" s="38" t="str">
        <f aca="false">IF($C63="","",IF($T63="",INDEX(ИНФА!$M$5:$M$19,MATCH($C63,ИНФА!$I$5:$I$19,0)),0))</f>
        <v/>
      </c>
      <c r="AA63" s="38" t="str">
        <f aca="false">IF(OR($C63="",$T63=""),"",IF($V63&lt;&gt;"",$V63,INDEX(ИНФА!$N$5:$N$19,MATCH($C63,ИНФА!$I$5:$I$19,0))))</f>
        <v/>
      </c>
      <c r="AB63" s="37" t="str">
        <f aca="false">IF($C63="","",IF($T63&lt;&gt;"",IF($U63&lt;&gt;"","продано компании "&amp;$U63&amp;" в цикле "&amp;$T63,"продано Инфраструктуре в цикле "&amp;$T63),IF($D63&gt;=ИНФА!$F$5,"доход со следующего цикла","приносит доход")))</f>
        <v/>
      </c>
      <c r="AC63" s="47" t="str">
        <f aca="false">IF($C63="","",IF($F63="","",IF($E63="","укажите продавца; ",IF(OR($F63&lt;INDEX(ИНФА!$N$5:$N$19,MATCH($C63,ИНФА!$I$5:$I$19,0)),$F63&gt;INDEX(ИНФА!$M$5:$M$19,MATCH($C63,ИНФА!$I$5:$I$19,0))),"цена покупки вне коридора! ","")))&amp;IF($U63="","",IF(OR($V63="",$T63=""),"укажите цикл и цену продажи; ",IF(OR($V63&lt;INDEX(ИНФА!$N$5:$N$19,MATCH($C63,ИНФА!$I$5:$I$19,0)),$V63&gt;INDEX(ИНФА!$M$5:$M$19,MATCH($C63,ИНФА!$I$5:$I$19,0))),"цена продажи вне коридора! ","")))&amp;IF(AND($T63="",COUNTIFS($C$5:$C63,$C63,$T$5:$T63,"")&gt;INDEX(ИНФА!$Q$5:$Q$19,MATCH($C63,ИНФА!$I$5:$I$19,0))),"лотов нет! ","")&amp;IF(AND($E63&lt;&gt;"",$F63=""),"укажите цену сделки; ","")&amp;IF(AND(N($H63)&gt;0,OR($AD63="",$AD63="Профессия"),OR($H63&gt;ИНФА!$F$29,$I63&lt;INDEX(ИНФА!$N$5:$N$19,MATCH($C63,ИНФА!$I$5:$I$19,0))+ИНФА!$F$30)),"скидка больше лимита или цена ниже выкупа + 500! ","")&amp;IF($AE63="","",IF(IFERROR(INDEX($B$5:$B$204,MATCH($AE63,$A$5:$A$204,0))=$B63,TRUE()),"бизнес-пара — только со зданием другой компании; ",""))&amp;IF($Q63="","",IF(IFERROR(INDEX(НАУКА!$B$5:$B$44,MATCH($Q63,НАУКА!$A$5:$A$44,0))&lt;&gt;$B63,FALSE()),"патент другой компании — нужна лицензия или соглашение; ","")))</f>
        <v/>
      </c>
      <c r="AD63" s="44"/>
      <c r="AE63" s="44"/>
      <c r="AF63" s="38" t="str">
        <f aca="false">IF($C63="","",IF(AND($W63=1,OR($C63="Дом",$C63="Кафе")),ИНФА!$F$17*(COUNTIFS($B$5:$B63,$B63,$C$5:$C63,$C63,$W$5:$W63,1)&lt;=COUNTIFS($B$5:$B$204,$B63,$C$5:$C$204,"Парк",$W$5:$W$204,1)),0))</f>
        <v/>
      </c>
      <c r="AG63" s="38" t="str">
        <f aca="false">IF($C63="","",IF($W63=1,IF(OR(AND($AE63&lt;&gt;"",IFERROR(INDEX($W$5:$W$204,MATCH($AE63,$A$5:$A$204,0))=1,FALSE()),IFERROR(INDEX($B$5:$B$204,MATCH($AE63,$A$5:$A$204,0))&lt;&gt;$B63,FALSE())),COUNTIFS($AE$5:$AE$204,$A63,$W$5:$W$204,1,$B$5:$B$204,"&lt;&gt;"&amp;$B63)&gt;0),ИНФА!$F$31,0),0))</f>
        <v/>
      </c>
    </row>
    <row r="64" customFormat="false" ht="15" hidden="false" customHeight="false" outlineLevel="0" collapsed="false">
      <c r="A64" s="15" t="n">
        <v>60</v>
      </c>
      <c r="B64" s="44"/>
      <c r="C64" s="44"/>
      <c r="D64" s="44"/>
      <c r="E64" s="44"/>
      <c r="F64" s="43"/>
      <c r="G64" s="38" t="str">
        <f aca="false">IF($C64="","",IF($F64&lt;&gt;"",$F64,INDEX(ИНФА!$M$5:$M$19,MATCH($C64,ИНФА!$I$5:$I$19,0))))</f>
        <v/>
      </c>
      <c r="H64" s="43"/>
      <c r="I64" s="38" t="str">
        <f aca="false">IF($C64="","",G64-N(H64))</f>
        <v/>
      </c>
      <c r="J64" s="37" t="str">
        <f aca="false">IF($C64="","",INDEX(ИНФА!$J$5:$J$19,MATCH($C64,ИНФА!$I$5:$I$19,0)))</f>
        <v/>
      </c>
      <c r="K64" s="37" t="str">
        <f aca="false">IF($C64="","",INDEX(ИНФА!$K$5:$K$19,MATCH($C64,ИНФА!$I$5:$I$19,0)))</f>
        <v/>
      </c>
      <c r="L64" s="38" t="str">
        <f aca="false">IF($C64="","",INDEX(ИНФА!$O$5:$O$19,MATCH($C64,ИНФА!$I$5:$I$19,0)))</f>
        <v/>
      </c>
      <c r="M64" s="38" t="str">
        <f aca="false">IF($C64="","",INDEX(ИНФА!$P$5:$P$19,MATCH($C64,ИНФА!$I$5:$I$19,0)))</f>
        <v/>
      </c>
      <c r="N64" s="44"/>
      <c r="O64" s="48" t="n">
        <f aca="false">IF(OR($C64="",$N64=""),1,IF(AND($J64="Услуги",IFERROR(INDEX($C$5:$C$204,MATCH($N64,$A$5:$A$204,0))=INDEX(ИНФА!$L$5:$L$19,MATCH($C64,ИНФА!$I$5:$I$19,0)),FALSE()),IFERROR(INDEX($W$5:$W$204,MATCH($N64,$A$5:$A$204,0))=1,FALSE()),COUNTIF($N$5:$N64,$N64)&lt;=ИНФА!$F$16),1+ИНФА!$F$15,1))</f>
        <v>1</v>
      </c>
      <c r="P64" s="47" t="str">
        <f aca="false">IF($C64="","",IF($J64&lt;&gt;"Услуги","",IF($N64="","нет поставщика — нужен "&amp;INDEX(ИНФА!$L$5:$L$19,MATCH($C64,ИНФА!$I$5:$I$19,0)),IF($O64&gt;1,"✓ поставка работает (+50%)",IF(IFERROR(INDEX($C$5:$C$204,MATCH($N64,$A$5:$A$204,0))&lt;&gt;INDEX(ИНФА!$L$5:$L$19,MATCH($C64,ИНФА!$I$5:$I$19,0)),TRUE()),"не тот поставщик: нужен "&amp;INDEX(ИНФА!$L$5:$L$19,MATCH($C64,ИНФА!$I$5:$I$19,0)),IF(COUNTIF($N$5:$N64,$N64)&gt;ИНФА!$F$16,"поставщик перегружен","поставщик ещё не работает или продан"))))))</f>
        <v/>
      </c>
      <c r="Q64" s="44"/>
      <c r="R64" s="48" t="str">
        <f aca="false">IF($C64="","",IF($Q64="",1,IFERROR(INDEX(НАУКА!$K$5:$K$44,MATCH($Q64,НАУКА!$A$5:$A$44,0)),1)))</f>
        <v/>
      </c>
      <c r="S64" s="37" t="str">
        <f aca="false">IF($Q64="","",IFERROR(INDEX(НАУКА!$G$5:$G$44,MATCH($Q64,НАУКА!$A$5:$A$44,0)),""))</f>
        <v/>
      </c>
      <c r="T64" s="44"/>
      <c r="U64" s="44"/>
      <c r="V64" s="43"/>
      <c r="W64" s="37" t="n">
        <f aca="false">IF(OR($C64="",$D64=""),0,IF(AND($D64&lt;ИНФА!$F$5,OR($T64="",$T64&gt;=ИНФА!$F$5)),1,0))</f>
        <v>0</v>
      </c>
      <c r="X64" s="46" t="str">
        <f aca="false">IF($C64="","",INDEX(СОБЫТИЯ!$B$5:$K$8,MATCH($K64,СОБЫТИЯ!$A$5:$A$8,0),ИНФА!$F$5))</f>
        <v/>
      </c>
      <c r="Y64" s="42" t="str">
        <f aca="false">IF($C64="","",IF($W64=1,ROUND($L64*$O64*IF(AND($Q64&lt;&gt;"",$S64&lt;&gt;""),IF($S64&lt;ИНФА!$F$5,$R64,1),1)*$X64,0)-$M64+N($AF64)+N($AG64),0))</f>
        <v/>
      </c>
      <c r="Z64" s="38" t="str">
        <f aca="false">IF($C64="","",IF($T64="",INDEX(ИНФА!$M$5:$M$19,MATCH($C64,ИНФА!$I$5:$I$19,0)),0))</f>
        <v/>
      </c>
      <c r="AA64" s="38" t="str">
        <f aca="false">IF(OR($C64="",$T64=""),"",IF($V64&lt;&gt;"",$V64,INDEX(ИНФА!$N$5:$N$19,MATCH($C64,ИНФА!$I$5:$I$19,0))))</f>
        <v/>
      </c>
      <c r="AB64" s="37" t="str">
        <f aca="false">IF($C64="","",IF($T64&lt;&gt;"",IF($U64&lt;&gt;"","продано компании "&amp;$U64&amp;" в цикле "&amp;$T64,"продано Инфраструктуре в цикле "&amp;$T64),IF($D64&gt;=ИНФА!$F$5,"доход со следующего цикла","приносит доход")))</f>
        <v/>
      </c>
      <c r="AC64" s="47" t="str">
        <f aca="false">IF($C64="","",IF($F64="","",IF($E64="","укажите продавца; ",IF(OR($F64&lt;INDEX(ИНФА!$N$5:$N$19,MATCH($C64,ИНФА!$I$5:$I$19,0)),$F64&gt;INDEX(ИНФА!$M$5:$M$19,MATCH($C64,ИНФА!$I$5:$I$19,0))),"цена покупки вне коридора! ","")))&amp;IF($U64="","",IF(OR($V64="",$T64=""),"укажите цикл и цену продажи; ",IF(OR($V64&lt;INDEX(ИНФА!$N$5:$N$19,MATCH($C64,ИНФА!$I$5:$I$19,0)),$V64&gt;INDEX(ИНФА!$M$5:$M$19,MATCH($C64,ИНФА!$I$5:$I$19,0))),"цена продажи вне коридора! ","")))&amp;IF(AND($T64="",COUNTIFS($C$5:$C64,$C64,$T$5:$T64,"")&gt;INDEX(ИНФА!$Q$5:$Q$19,MATCH($C64,ИНФА!$I$5:$I$19,0))),"лотов нет! ","")&amp;IF(AND($E64&lt;&gt;"",$F64=""),"укажите цену сделки; ","")&amp;IF(AND(N($H64)&gt;0,OR($AD64="",$AD64="Профессия"),OR($H64&gt;ИНФА!$F$29,$I64&lt;INDEX(ИНФА!$N$5:$N$19,MATCH($C64,ИНФА!$I$5:$I$19,0))+ИНФА!$F$30)),"скидка больше лимита или цена ниже выкупа + 500! ","")&amp;IF($AE64="","",IF(IFERROR(INDEX($B$5:$B$204,MATCH($AE64,$A$5:$A$204,0))=$B64,TRUE()),"бизнес-пара — только со зданием другой компании; ",""))&amp;IF($Q64="","",IF(IFERROR(INDEX(НАУКА!$B$5:$B$44,MATCH($Q64,НАУКА!$A$5:$A$44,0))&lt;&gt;$B64,FALSE()),"патент другой компании — нужна лицензия или соглашение; ","")))</f>
        <v/>
      </c>
      <c r="AD64" s="44"/>
      <c r="AE64" s="44"/>
      <c r="AF64" s="38" t="str">
        <f aca="false">IF($C64="","",IF(AND($W64=1,OR($C64="Дом",$C64="Кафе")),ИНФА!$F$17*(COUNTIFS($B$5:$B64,$B64,$C$5:$C64,$C64,$W$5:$W64,1)&lt;=COUNTIFS($B$5:$B$204,$B64,$C$5:$C$204,"Парк",$W$5:$W$204,1)),0))</f>
        <v/>
      </c>
      <c r="AG64" s="38" t="str">
        <f aca="false">IF($C64="","",IF($W64=1,IF(OR(AND($AE64&lt;&gt;"",IFERROR(INDEX($W$5:$W$204,MATCH($AE64,$A$5:$A$204,0))=1,FALSE()),IFERROR(INDEX($B$5:$B$204,MATCH($AE64,$A$5:$A$204,0))&lt;&gt;$B64,FALSE())),COUNTIFS($AE$5:$AE$204,$A64,$W$5:$W$204,1,$B$5:$B$204,"&lt;&gt;"&amp;$B64)&gt;0),ИНФА!$F$31,0),0))</f>
        <v/>
      </c>
    </row>
    <row r="65" customFormat="false" ht="15" hidden="false" customHeight="false" outlineLevel="0" collapsed="false">
      <c r="A65" s="15" t="n">
        <v>61</v>
      </c>
      <c r="B65" s="44"/>
      <c r="C65" s="44"/>
      <c r="D65" s="44"/>
      <c r="E65" s="44"/>
      <c r="F65" s="43"/>
      <c r="G65" s="38" t="str">
        <f aca="false">IF($C65="","",IF($F65&lt;&gt;"",$F65,INDEX(ИНФА!$M$5:$M$19,MATCH($C65,ИНФА!$I$5:$I$19,0))))</f>
        <v/>
      </c>
      <c r="H65" s="43"/>
      <c r="I65" s="38" t="str">
        <f aca="false">IF($C65="","",G65-N(H65))</f>
        <v/>
      </c>
      <c r="J65" s="37" t="str">
        <f aca="false">IF($C65="","",INDEX(ИНФА!$J$5:$J$19,MATCH($C65,ИНФА!$I$5:$I$19,0)))</f>
        <v/>
      </c>
      <c r="K65" s="37" t="str">
        <f aca="false">IF($C65="","",INDEX(ИНФА!$K$5:$K$19,MATCH($C65,ИНФА!$I$5:$I$19,0)))</f>
        <v/>
      </c>
      <c r="L65" s="38" t="str">
        <f aca="false">IF($C65="","",INDEX(ИНФА!$O$5:$O$19,MATCH($C65,ИНФА!$I$5:$I$19,0)))</f>
        <v/>
      </c>
      <c r="M65" s="38" t="str">
        <f aca="false">IF($C65="","",INDEX(ИНФА!$P$5:$P$19,MATCH($C65,ИНФА!$I$5:$I$19,0)))</f>
        <v/>
      </c>
      <c r="N65" s="44"/>
      <c r="O65" s="48" t="n">
        <f aca="false">IF(OR($C65="",$N65=""),1,IF(AND($J65="Услуги",IFERROR(INDEX($C$5:$C$204,MATCH($N65,$A$5:$A$204,0))=INDEX(ИНФА!$L$5:$L$19,MATCH($C65,ИНФА!$I$5:$I$19,0)),FALSE()),IFERROR(INDEX($W$5:$W$204,MATCH($N65,$A$5:$A$204,0))=1,FALSE()),COUNTIF($N$5:$N65,$N65)&lt;=ИНФА!$F$16),1+ИНФА!$F$15,1))</f>
        <v>1</v>
      </c>
      <c r="P65" s="47" t="str">
        <f aca="false">IF($C65="","",IF($J65&lt;&gt;"Услуги","",IF($N65="","нет поставщика — нужен "&amp;INDEX(ИНФА!$L$5:$L$19,MATCH($C65,ИНФА!$I$5:$I$19,0)),IF($O65&gt;1,"✓ поставка работает (+50%)",IF(IFERROR(INDEX($C$5:$C$204,MATCH($N65,$A$5:$A$204,0))&lt;&gt;INDEX(ИНФА!$L$5:$L$19,MATCH($C65,ИНФА!$I$5:$I$19,0)),TRUE()),"не тот поставщик: нужен "&amp;INDEX(ИНФА!$L$5:$L$19,MATCH($C65,ИНФА!$I$5:$I$19,0)),IF(COUNTIF($N$5:$N65,$N65)&gt;ИНФА!$F$16,"поставщик перегружен","поставщик ещё не работает или продан"))))))</f>
        <v/>
      </c>
      <c r="Q65" s="44"/>
      <c r="R65" s="48" t="str">
        <f aca="false">IF($C65="","",IF($Q65="",1,IFERROR(INDEX(НАУКА!$K$5:$K$44,MATCH($Q65,НАУКА!$A$5:$A$44,0)),1)))</f>
        <v/>
      </c>
      <c r="S65" s="37" t="str">
        <f aca="false">IF($Q65="","",IFERROR(INDEX(НАУКА!$G$5:$G$44,MATCH($Q65,НАУКА!$A$5:$A$44,0)),""))</f>
        <v/>
      </c>
      <c r="T65" s="44"/>
      <c r="U65" s="44"/>
      <c r="V65" s="43"/>
      <c r="W65" s="37" t="n">
        <f aca="false">IF(OR($C65="",$D65=""),0,IF(AND($D65&lt;ИНФА!$F$5,OR($T65="",$T65&gt;=ИНФА!$F$5)),1,0))</f>
        <v>0</v>
      </c>
      <c r="X65" s="46" t="str">
        <f aca="false">IF($C65="","",INDEX(СОБЫТИЯ!$B$5:$K$8,MATCH($K65,СОБЫТИЯ!$A$5:$A$8,0),ИНФА!$F$5))</f>
        <v/>
      </c>
      <c r="Y65" s="42" t="str">
        <f aca="false">IF($C65="","",IF($W65=1,ROUND($L65*$O65*IF(AND($Q65&lt;&gt;"",$S65&lt;&gt;""),IF($S65&lt;ИНФА!$F$5,$R65,1),1)*$X65,0)-$M65+N($AF65)+N($AG65),0))</f>
        <v/>
      </c>
      <c r="Z65" s="38" t="str">
        <f aca="false">IF($C65="","",IF($T65="",INDEX(ИНФА!$M$5:$M$19,MATCH($C65,ИНФА!$I$5:$I$19,0)),0))</f>
        <v/>
      </c>
      <c r="AA65" s="38" t="str">
        <f aca="false">IF(OR($C65="",$T65=""),"",IF($V65&lt;&gt;"",$V65,INDEX(ИНФА!$N$5:$N$19,MATCH($C65,ИНФА!$I$5:$I$19,0))))</f>
        <v/>
      </c>
      <c r="AB65" s="37" t="str">
        <f aca="false">IF($C65="","",IF($T65&lt;&gt;"",IF($U65&lt;&gt;"","продано компании "&amp;$U65&amp;" в цикле "&amp;$T65,"продано Инфраструктуре в цикле "&amp;$T65),IF($D65&gt;=ИНФА!$F$5,"доход со следующего цикла","приносит доход")))</f>
        <v/>
      </c>
      <c r="AC65" s="47" t="str">
        <f aca="false">IF($C65="","",IF($F65="","",IF($E65="","укажите продавца; ",IF(OR($F65&lt;INDEX(ИНФА!$N$5:$N$19,MATCH($C65,ИНФА!$I$5:$I$19,0)),$F65&gt;INDEX(ИНФА!$M$5:$M$19,MATCH($C65,ИНФА!$I$5:$I$19,0))),"цена покупки вне коридора! ","")))&amp;IF($U65="","",IF(OR($V65="",$T65=""),"укажите цикл и цену продажи; ",IF(OR($V65&lt;INDEX(ИНФА!$N$5:$N$19,MATCH($C65,ИНФА!$I$5:$I$19,0)),$V65&gt;INDEX(ИНФА!$M$5:$M$19,MATCH($C65,ИНФА!$I$5:$I$19,0))),"цена продажи вне коридора! ","")))&amp;IF(AND($T65="",COUNTIFS($C$5:$C65,$C65,$T$5:$T65,"")&gt;INDEX(ИНФА!$Q$5:$Q$19,MATCH($C65,ИНФА!$I$5:$I$19,0))),"лотов нет! ","")&amp;IF(AND($E65&lt;&gt;"",$F65=""),"укажите цену сделки; ","")&amp;IF(AND(N($H65)&gt;0,OR($AD65="",$AD65="Профессия"),OR($H65&gt;ИНФА!$F$29,$I65&lt;INDEX(ИНФА!$N$5:$N$19,MATCH($C65,ИНФА!$I$5:$I$19,0))+ИНФА!$F$30)),"скидка больше лимита или цена ниже выкупа + 500! ","")&amp;IF($AE65="","",IF(IFERROR(INDEX($B$5:$B$204,MATCH($AE65,$A$5:$A$204,0))=$B65,TRUE()),"бизнес-пара — только со зданием другой компании; ",""))&amp;IF($Q65="","",IF(IFERROR(INDEX(НАУКА!$B$5:$B$44,MATCH($Q65,НАУКА!$A$5:$A$44,0))&lt;&gt;$B65,FALSE()),"патент другой компании — нужна лицензия или соглашение; ","")))</f>
        <v/>
      </c>
      <c r="AD65" s="44"/>
      <c r="AE65" s="44"/>
      <c r="AF65" s="38" t="str">
        <f aca="false">IF($C65="","",IF(AND($W65=1,OR($C65="Дом",$C65="Кафе")),ИНФА!$F$17*(COUNTIFS($B$5:$B65,$B65,$C$5:$C65,$C65,$W$5:$W65,1)&lt;=COUNTIFS($B$5:$B$204,$B65,$C$5:$C$204,"Парк",$W$5:$W$204,1)),0))</f>
        <v/>
      </c>
      <c r="AG65" s="38" t="str">
        <f aca="false">IF($C65="","",IF($W65=1,IF(OR(AND($AE65&lt;&gt;"",IFERROR(INDEX($W$5:$W$204,MATCH($AE65,$A$5:$A$204,0))=1,FALSE()),IFERROR(INDEX($B$5:$B$204,MATCH($AE65,$A$5:$A$204,0))&lt;&gt;$B65,FALSE())),COUNTIFS($AE$5:$AE$204,$A65,$W$5:$W$204,1,$B$5:$B$204,"&lt;&gt;"&amp;$B65)&gt;0),ИНФА!$F$31,0),0))</f>
        <v/>
      </c>
    </row>
    <row r="66" customFormat="false" ht="15" hidden="false" customHeight="false" outlineLevel="0" collapsed="false">
      <c r="A66" s="15" t="n">
        <v>62</v>
      </c>
      <c r="B66" s="44"/>
      <c r="C66" s="44"/>
      <c r="D66" s="44"/>
      <c r="E66" s="44"/>
      <c r="F66" s="43"/>
      <c r="G66" s="38" t="str">
        <f aca="false">IF($C66="","",IF($F66&lt;&gt;"",$F66,INDEX(ИНФА!$M$5:$M$19,MATCH($C66,ИНФА!$I$5:$I$19,0))))</f>
        <v/>
      </c>
      <c r="H66" s="43"/>
      <c r="I66" s="38" t="str">
        <f aca="false">IF($C66="","",G66-N(H66))</f>
        <v/>
      </c>
      <c r="J66" s="37" t="str">
        <f aca="false">IF($C66="","",INDEX(ИНФА!$J$5:$J$19,MATCH($C66,ИНФА!$I$5:$I$19,0)))</f>
        <v/>
      </c>
      <c r="K66" s="37" t="str">
        <f aca="false">IF($C66="","",INDEX(ИНФА!$K$5:$K$19,MATCH($C66,ИНФА!$I$5:$I$19,0)))</f>
        <v/>
      </c>
      <c r="L66" s="38" t="str">
        <f aca="false">IF($C66="","",INDEX(ИНФА!$O$5:$O$19,MATCH($C66,ИНФА!$I$5:$I$19,0)))</f>
        <v/>
      </c>
      <c r="M66" s="38" t="str">
        <f aca="false">IF($C66="","",INDEX(ИНФА!$P$5:$P$19,MATCH($C66,ИНФА!$I$5:$I$19,0)))</f>
        <v/>
      </c>
      <c r="N66" s="44"/>
      <c r="O66" s="48" t="n">
        <f aca="false">IF(OR($C66="",$N66=""),1,IF(AND($J66="Услуги",IFERROR(INDEX($C$5:$C$204,MATCH($N66,$A$5:$A$204,0))=INDEX(ИНФА!$L$5:$L$19,MATCH($C66,ИНФА!$I$5:$I$19,0)),FALSE()),IFERROR(INDEX($W$5:$W$204,MATCH($N66,$A$5:$A$204,0))=1,FALSE()),COUNTIF($N$5:$N66,$N66)&lt;=ИНФА!$F$16),1+ИНФА!$F$15,1))</f>
        <v>1</v>
      </c>
      <c r="P66" s="47" t="str">
        <f aca="false">IF($C66="","",IF($J66&lt;&gt;"Услуги","",IF($N66="","нет поставщика — нужен "&amp;INDEX(ИНФА!$L$5:$L$19,MATCH($C66,ИНФА!$I$5:$I$19,0)),IF($O66&gt;1,"✓ поставка работает (+50%)",IF(IFERROR(INDEX($C$5:$C$204,MATCH($N66,$A$5:$A$204,0))&lt;&gt;INDEX(ИНФА!$L$5:$L$19,MATCH($C66,ИНФА!$I$5:$I$19,0)),TRUE()),"не тот поставщик: нужен "&amp;INDEX(ИНФА!$L$5:$L$19,MATCH($C66,ИНФА!$I$5:$I$19,0)),IF(COUNTIF($N$5:$N66,$N66)&gt;ИНФА!$F$16,"поставщик перегружен","поставщик ещё не работает или продан"))))))</f>
        <v/>
      </c>
      <c r="Q66" s="44"/>
      <c r="R66" s="48" t="str">
        <f aca="false">IF($C66="","",IF($Q66="",1,IFERROR(INDEX(НАУКА!$K$5:$K$44,MATCH($Q66,НАУКА!$A$5:$A$44,0)),1)))</f>
        <v/>
      </c>
      <c r="S66" s="37" t="str">
        <f aca="false">IF($Q66="","",IFERROR(INDEX(НАУКА!$G$5:$G$44,MATCH($Q66,НАУКА!$A$5:$A$44,0)),""))</f>
        <v/>
      </c>
      <c r="T66" s="44"/>
      <c r="U66" s="44"/>
      <c r="V66" s="43"/>
      <c r="W66" s="37" t="n">
        <f aca="false">IF(OR($C66="",$D66=""),0,IF(AND($D66&lt;ИНФА!$F$5,OR($T66="",$T66&gt;=ИНФА!$F$5)),1,0))</f>
        <v>0</v>
      </c>
      <c r="X66" s="46" t="str">
        <f aca="false">IF($C66="","",INDEX(СОБЫТИЯ!$B$5:$K$8,MATCH($K66,СОБЫТИЯ!$A$5:$A$8,0),ИНФА!$F$5))</f>
        <v/>
      </c>
      <c r="Y66" s="42" t="str">
        <f aca="false">IF($C66="","",IF($W66=1,ROUND($L66*$O66*IF(AND($Q66&lt;&gt;"",$S66&lt;&gt;""),IF($S66&lt;ИНФА!$F$5,$R66,1),1)*$X66,0)-$M66+N($AF66)+N($AG66),0))</f>
        <v/>
      </c>
      <c r="Z66" s="38" t="str">
        <f aca="false">IF($C66="","",IF($T66="",INDEX(ИНФА!$M$5:$M$19,MATCH($C66,ИНФА!$I$5:$I$19,0)),0))</f>
        <v/>
      </c>
      <c r="AA66" s="38" t="str">
        <f aca="false">IF(OR($C66="",$T66=""),"",IF($V66&lt;&gt;"",$V66,INDEX(ИНФА!$N$5:$N$19,MATCH($C66,ИНФА!$I$5:$I$19,0))))</f>
        <v/>
      </c>
      <c r="AB66" s="37" t="str">
        <f aca="false">IF($C66="","",IF($T66&lt;&gt;"",IF($U66&lt;&gt;"","продано компании "&amp;$U66&amp;" в цикле "&amp;$T66,"продано Инфраструктуре в цикле "&amp;$T66),IF($D66&gt;=ИНФА!$F$5,"доход со следующего цикла","приносит доход")))</f>
        <v/>
      </c>
      <c r="AC66" s="47" t="str">
        <f aca="false">IF($C66="","",IF($F66="","",IF($E66="","укажите продавца; ",IF(OR($F66&lt;INDEX(ИНФА!$N$5:$N$19,MATCH($C66,ИНФА!$I$5:$I$19,0)),$F66&gt;INDEX(ИНФА!$M$5:$M$19,MATCH($C66,ИНФА!$I$5:$I$19,0))),"цена покупки вне коридора! ","")))&amp;IF($U66="","",IF(OR($V66="",$T66=""),"укажите цикл и цену продажи; ",IF(OR($V66&lt;INDEX(ИНФА!$N$5:$N$19,MATCH($C66,ИНФА!$I$5:$I$19,0)),$V66&gt;INDEX(ИНФА!$M$5:$M$19,MATCH($C66,ИНФА!$I$5:$I$19,0))),"цена продажи вне коридора! ","")))&amp;IF(AND($T66="",COUNTIFS($C$5:$C66,$C66,$T$5:$T66,"")&gt;INDEX(ИНФА!$Q$5:$Q$19,MATCH($C66,ИНФА!$I$5:$I$19,0))),"лотов нет! ","")&amp;IF(AND($E66&lt;&gt;"",$F66=""),"укажите цену сделки; ","")&amp;IF(AND(N($H66)&gt;0,OR($AD66="",$AD66="Профессия"),OR($H66&gt;ИНФА!$F$29,$I66&lt;INDEX(ИНФА!$N$5:$N$19,MATCH($C66,ИНФА!$I$5:$I$19,0))+ИНФА!$F$30)),"скидка больше лимита или цена ниже выкупа + 500! ","")&amp;IF($AE66="","",IF(IFERROR(INDEX($B$5:$B$204,MATCH($AE66,$A$5:$A$204,0))=$B66,TRUE()),"бизнес-пара — только со зданием другой компании; ",""))&amp;IF($Q66="","",IF(IFERROR(INDEX(НАУКА!$B$5:$B$44,MATCH($Q66,НАУКА!$A$5:$A$44,0))&lt;&gt;$B66,FALSE()),"патент другой компании — нужна лицензия или соглашение; ","")))</f>
        <v/>
      </c>
      <c r="AD66" s="44"/>
      <c r="AE66" s="44"/>
      <c r="AF66" s="38" t="str">
        <f aca="false">IF($C66="","",IF(AND($W66=1,OR($C66="Дом",$C66="Кафе")),ИНФА!$F$17*(COUNTIFS($B$5:$B66,$B66,$C$5:$C66,$C66,$W$5:$W66,1)&lt;=COUNTIFS($B$5:$B$204,$B66,$C$5:$C$204,"Парк",$W$5:$W$204,1)),0))</f>
        <v/>
      </c>
      <c r="AG66" s="38" t="str">
        <f aca="false">IF($C66="","",IF($W66=1,IF(OR(AND($AE66&lt;&gt;"",IFERROR(INDEX($W$5:$W$204,MATCH($AE66,$A$5:$A$204,0))=1,FALSE()),IFERROR(INDEX($B$5:$B$204,MATCH($AE66,$A$5:$A$204,0))&lt;&gt;$B66,FALSE())),COUNTIFS($AE$5:$AE$204,$A66,$W$5:$W$204,1,$B$5:$B$204,"&lt;&gt;"&amp;$B66)&gt;0),ИНФА!$F$31,0),0))</f>
        <v/>
      </c>
    </row>
    <row r="67" customFormat="false" ht="15" hidden="false" customHeight="false" outlineLevel="0" collapsed="false">
      <c r="A67" s="15" t="n">
        <v>63</v>
      </c>
      <c r="B67" s="44"/>
      <c r="C67" s="44"/>
      <c r="D67" s="44"/>
      <c r="E67" s="44"/>
      <c r="F67" s="43"/>
      <c r="G67" s="38" t="str">
        <f aca="false">IF($C67="","",IF($F67&lt;&gt;"",$F67,INDEX(ИНФА!$M$5:$M$19,MATCH($C67,ИНФА!$I$5:$I$19,0))))</f>
        <v/>
      </c>
      <c r="H67" s="43"/>
      <c r="I67" s="38" t="str">
        <f aca="false">IF($C67="","",G67-N(H67))</f>
        <v/>
      </c>
      <c r="J67" s="37" t="str">
        <f aca="false">IF($C67="","",INDEX(ИНФА!$J$5:$J$19,MATCH($C67,ИНФА!$I$5:$I$19,0)))</f>
        <v/>
      </c>
      <c r="K67" s="37" t="str">
        <f aca="false">IF($C67="","",INDEX(ИНФА!$K$5:$K$19,MATCH($C67,ИНФА!$I$5:$I$19,0)))</f>
        <v/>
      </c>
      <c r="L67" s="38" t="str">
        <f aca="false">IF($C67="","",INDEX(ИНФА!$O$5:$O$19,MATCH($C67,ИНФА!$I$5:$I$19,0)))</f>
        <v/>
      </c>
      <c r="M67" s="38" t="str">
        <f aca="false">IF($C67="","",INDEX(ИНФА!$P$5:$P$19,MATCH($C67,ИНФА!$I$5:$I$19,0)))</f>
        <v/>
      </c>
      <c r="N67" s="44"/>
      <c r="O67" s="48" t="n">
        <f aca="false">IF(OR($C67="",$N67=""),1,IF(AND($J67="Услуги",IFERROR(INDEX($C$5:$C$204,MATCH($N67,$A$5:$A$204,0))=INDEX(ИНФА!$L$5:$L$19,MATCH($C67,ИНФА!$I$5:$I$19,0)),FALSE()),IFERROR(INDEX($W$5:$W$204,MATCH($N67,$A$5:$A$204,0))=1,FALSE()),COUNTIF($N$5:$N67,$N67)&lt;=ИНФА!$F$16),1+ИНФА!$F$15,1))</f>
        <v>1</v>
      </c>
      <c r="P67" s="47" t="str">
        <f aca="false">IF($C67="","",IF($J67&lt;&gt;"Услуги","",IF($N67="","нет поставщика — нужен "&amp;INDEX(ИНФА!$L$5:$L$19,MATCH($C67,ИНФА!$I$5:$I$19,0)),IF($O67&gt;1,"✓ поставка работает (+50%)",IF(IFERROR(INDEX($C$5:$C$204,MATCH($N67,$A$5:$A$204,0))&lt;&gt;INDEX(ИНФА!$L$5:$L$19,MATCH($C67,ИНФА!$I$5:$I$19,0)),TRUE()),"не тот поставщик: нужен "&amp;INDEX(ИНФА!$L$5:$L$19,MATCH($C67,ИНФА!$I$5:$I$19,0)),IF(COUNTIF($N$5:$N67,$N67)&gt;ИНФА!$F$16,"поставщик перегружен","поставщик ещё не работает или продан"))))))</f>
        <v/>
      </c>
      <c r="Q67" s="44"/>
      <c r="R67" s="48" t="str">
        <f aca="false">IF($C67="","",IF($Q67="",1,IFERROR(INDEX(НАУКА!$K$5:$K$44,MATCH($Q67,НАУКА!$A$5:$A$44,0)),1)))</f>
        <v/>
      </c>
      <c r="S67" s="37" t="str">
        <f aca="false">IF($Q67="","",IFERROR(INDEX(НАУКА!$G$5:$G$44,MATCH($Q67,НАУКА!$A$5:$A$44,0)),""))</f>
        <v/>
      </c>
      <c r="T67" s="44"/>
      <c r="U67" s="44"/>
      <c r="V67" s="43"/>
      <c r="W67" s="37" t="n">
        <f aca="false">IF(OR($C67="",$D67=""),0,IF(AND($D67&lt;ИНФА!$F$5,OR($T67="",$T67&gt;=ИНФА!$F$5)),1,0))</f>
        <v>0</v>
      </c>
      <c r="X67" s="46" t="str">
        <f aca="false">IF($C67="","",INDEX(СОБЫТИЯ!$B$5:$K$8,MATCH($K67,СОБЫТИЯ!$A$5:$A$8,0),ИНФА!$F$5))</f>
        <v/>
      </c>
      <c r="Y67" s="42" t="str">
        <f aca="false">IF($C67="","",IF($W67=1,ROUND($L67*$O67*IF(AND($Q67&lt;&gt;"",$S67&lt;&gt;""),IF($S67&lt;ИНФА!$F$5,$R67,1),1)*$X67,0)-$M67+N($AF67)+N($AG67),0))</f>
        <v/>
      </c>
      <c r="Z67" s="38" t="str">
        <f aca="false">IF($C67="","",IF($T67="",INDEX(ИНФА!$M$5:$M$19,MATCH($C67,ИНФА!$I$5:$I$19,0)),0))</f>
        <v/>
      </c>
      <c r="AA67" s="38" t="str">
        <f aca="false">IF(OR($C67="",$T67=""),"",IF($V67&lt;&gt;"",$V67,INDEX(ИНФА!$N$5:$N$19,MATCH($C67,ИНФА!$I$5:$I$19,0))))</f>
        <v/>
      </c>
      <c r="AB67" s="37" t="str">
        <f aca="false">IF($C67="","",IF($T67&lt;&gt;"",IF($U67&lt;&gt;"","продано компании "&amp;$U67&amp;" в цикле "&amp;$T67,"продано Инфраструктуре в цикле "&amp;$T67),IF($D67&gt;=ИНФА!$F$5,"доход со следующего цикла","приносит доход")))</f>
        <v/>
      </c>
      <c r="AC67" s="47" t="str">
        <f aca="false">IF($C67="","",IF($F67="","",IF($E67="","укажите продавца; ",IF(OR($F67&lt;INDEX(ИНФА!$N$5:$N$19,MATCH($C67,ИНФА!$I$5:$I$19,0)),$F67&gt;INDEX(ИНФА!$M$5:$M$19,MATCH($C67,ИНФА!$I$5:$I$19,0))),"цена покупки вне коридора! ","")))&amp;IF($U67="","",IF(OR($V67="",$T67=""),"укажите цикл и цену продажи; ",IF(OR($V67&lt;INDEX(ИНФА!$N$5:$N$19,MATCH($C67,ИНФА!$I$5:$I$19,0)),$V67&gt;INDEX(ИНФА!$M$5:$M$19,MATCH($C67,ИНФА!$I$5:$I$19,0))),"цена продажи вне коридора! ","")))&amp;IF(AND($T67="",COUNTIFS($C$5:$C67,$C67,$T$5:$T67,"")&gt;INDEX(ИНФА!$Q$5:$Q$19,MATCH($C67,ИНФА!$I$5:$I$19,0))),"лотов нет! ","")&amp;IF(AND($E67&lt;&gt;"",$F67=""),"укажите цену сделки; ","")&amp;IF(AND(N($H67)&gt;0,OR($AD67="",$AD67="Профессия"),OR($H67&gt;ИНФА!$F$29,$I67&lt;INDEX(ИНФА!$N$5:$N$19,MATCH($C67,ИНФА!$I$5:$I$19,0))+ИНФА!$F$30)),"скидка больше лимита или цена ниже выкупа + 500! ","")&amp;IF($AE67="","",IF(IFERROR(INDEX($B$5:$B$204,MATCH($AE67,$A$5:$A$204,0))=$B67,TRUE()),"бизнес-пара — только со зданием другой компании; ",""))&amp;IF($Q67="","",IF(IFERROR(INDEX(НАУКА!$B$5:$B$44,MATCH($Q67,НАУКА!$A$5:$A$44,0))&lt;&gt;$B67,FALSE()),"патент другой компании — нужна лицензия или соглашение; ","")))</f>
        <v/>
      </c>
      <c r="AD67" s="44"/>
      <c r="AE67" s="44"/>
      <c r="AF67" s="38" t="str">
        <f aca="false">IF($C67="","",IF(AND($W67=1,OR($C67="Дом",$C67="Кафе")),ИНФА!$F$17*(COUNTIFS($B$5:$B67,$B67,$C$5:$C67,$C67,$W$5:$W67,1)&lt;=COUNTIFS($B$5:$B$204,$B67,$C$5:$C$204,"Парк",$W$5:$W$204,1)),0))</f>
        <v/>
      </c>
      <c r="AG67" s="38" t="str">
        <f aca="false">IF($C67="","",IF($W67=1,IF(OR(AND($AE67&lt;&gt;"",IFERROR(INDEX($W$5:$W$204,MATCH($AE67,$A$5:$A$204,0))=1,FALSE()),IFERROR(INDEX($B$5:$B$204,MATCH($AE67,$A$5:$A$204,0))&lt;&gt;$B67,FALSE())),COUNTIFS($AE$5:$AE$204,$A67,$W$5:$W$204,1,$B$5:$B$204,"&lt;&gt;"&amp;$B67)&gt;0),ИНФА!$F$31,0),0))</f>
        <v/>
      </c>
    </row>
    <row r="68" customFormat="false" ht="15" hidden="false" customHeight="false" outlineLevel="0" collapsed="false">
      <c r="A68" s="15" t="n">
        <v>64</v>
      </c>
      <c r="B68" s="44"/>
      <c r="C68" s="44"/>
      <c r="D68" s="44"/>
      <c r="E68" s="44"/>
      <c r="F68" s="43"/>
      <c r="G68" s="38" t="str">
        <f aca="false">IF($C68="","",IF($F68&lt;&gt;"",$F68,INDEX(ИНФА!$M$5:$M$19,MATCH($C68,ИНФА!$I$5:$I$19,0))))</f>
        <v/>
      </c>
      <c r="H68" s="43"/>
      <c r="I68" s="38" t="str">
        <f aca="false">IF($C68="","",G68-N(H68))</f>
        <v/>
      </c>
      <c r="J68" s="37" t="str">
        <f aca="false">IF($C68="","",INDEX(ИНФА!$J$5:$J$19,MATCH($C68,ИНФА!$I$5:$I$19,0)))</f>
        <v/>
      </c>
      <c r="K68" s="37" t="str">
        <f aca="false">IF($C68="","",INDEX(ИНФА!$K$5:$K$19,MATCH($C68,ИНФА!$I$5:$I$19,0)))</f>
        <v/>
      </c>
      <c r="L68" s="38" t="str">
        <f aca="false">IF($C68="","",INDEX(ИНФА!$O$5:$O$19,MATCH($C68,ИНФА!$I$5:$I$19,0)))</f>
        <v/>
      </c>
      <c r="M68" s="38" t="str">
        <f aca="false">IF($C68="","",INDEX(ИНФА!$P$5:$P$19,MATCH($C68,ИНФА!$I$5:$I$19,0)))</f>
        <v/>
      </c>
      <c r="N68" s="44"/>
      <c r="O68" s="48" t="n">
        <f aca="false">IF(OR($C68="",$N68=""),1,IF(AND($J68="Услуги",IFERROR(INDEX($C$5:$C$204,MATCH($N68,$A$5:$A$204,0))=INDEX(ИНФА!$L$5:$L$19,MATCH($C68,ИНФА!$I$5:$I$19,0)),FALSE()),IFERROR(INDEX($W$5:$W$204,MATCH($N68,$A$5:$A$204,0))=1,FALSE()),COUNTIF($N$5:$N68,$N68)&lt;=ИНФА!$F$16),1+ИНФА!$F$15,1))</f>
        <v>1</v>
      </c>
      <c r="P68" s="47" t="str">
        <f aca="false">IF($C68="","",IF($J68&lt;&gt;"Услуги","",IF($N68="","нет поставщика — нужен "&amp;INDEX(ИНФА!$L$5:$L$19,MATCH($C68,ИНФА!$I$5:$I$19,0)),IF($O68&gt;1,"✓ поставка работает (+50%)",IF(IFERROR(INDEX($C$5:$C$204,MATCH($N68,$A$5:$A$204,0))&lt;&gt;INDEX(ИНФА!$L$5:$L$19,MATCH($C68,ИНФА!$I$5:$I$19,0)),TRUE()),"не тот поставщик: нужен "&amp;INDEX(ИНФА!$L$5:$L$19,MATCH($C68,ИНФА!$I$5:$I$19,0)),IF(COUNTIF($N$5:$N68,$N68)&gt;ИНФА!$F$16,"поставщик перегружен","поставщик ещё не работает или продан"))))))</f>
        <v/>
      </c>
      <c r="Q68" s="44"/>
      <c r="R68" s="48" t="str">
        <f aca="false">IF($C68="","",IF($Q68="",1,IFERROR(INDEX(НАУКА!$K$5:$K$44,MATCH($Q68,НАУКА!$A$5:$A$44,0)),1)))</f>
        <v/>
      </c>
      <c r="S68" s="37" t="str">
        <f aca="false">IF($Q68="","",IFERROR(INDEX(НАУКА!$G$5:$G$44,MATCH($Q68,НАУКА!$A$5:$A$44,0)),""))</f>
        <v/>
      </c>
      <c r="T68" s="44"/>
      <c r="U68" s="44"/>
      <c r="V68" s="43"/>
      <c r="W68" s="37" t="n">
        <f aca="false">IF(OR($C68="",$D68=""),0,IF(AND($D68&lt;ИНФА!$F$5,OR($T68="",$T68&gt;=ИНФА!$F$5)),1,0))</f>
        <v>0</v>
      </c>
      <c r="X68" s="46" t="str">
        <f aca="false">IF($C68="","",INDEX(СОБЫТИЯ!$B$5:$K$8,MATCH($K68,СОБЫТИЯ!$A$5:$A$8,0),ИНФА!$F$5))</f>
        <v/>
      </c>
      <c r="Y68" s="42" t="str">
        <f aca="false">IF($C68="","",IF($W68=1,ROUND($L68*$O68*IF(AND($Q68&lt;&gt;"",$S68&lt;&gt;""),IF($S68&lt;ИНФА!$F$5,$R68,1),1)*$X68,0)-$M68+N($AF68)+N($AG68),0))</f>
        <v/>
      </c>
      <c r="Z68" s="38" t="str">
        <f aca="false">IF($C68="","",IF($T68="",INDEX(ИНФА!$M$5:$M$19,MATCH($C68,ИНФА!$I$5:$I$19,0)),0))</f>
        <v/>
      </c>
      <c r="AA68" s="38" t="str">
        <f aca="false">IF(OR($C68="",$T68=""),"",IF($V68&lt;&gt;"",$V68,INDEX(ИНФА!$N$5:$N$19,MATCH($C68,ИНФА!$I$5:$I$19,0))))</f>
        <v/>
      </c>
      <c r="AB68" s="37" t="str">
        <f aca="false">IF($C68="","",IF($T68&lt;&gt;"",IF($U68&lt;&gt;"","продано компании "&amp;$U68&amp;" в цикле "&amp;$T68,"продано Инфраструктуре в цикле "&amp;$T68),IF($D68&gt;=ИНФА!$F$5,"доход со следующего цикла","приносит доход")))</f>
        <v/>
      </c>
      <c r="AC68" s="47" t="str">
        <f aca="false">IF($C68="","",IF($F68="","",IF($E68="","укажите продавца; ",IF(OR($F68&lt;INDEX(ИНФА!$N$5:$N$19,MATCH($C68,ИНФА!$I$5:$I$19,0)),$F68&gt;INDEX(ИНФА!$M$5:$M$19,MATCH($C68,ИНФА!$I$5:$I$19,0))),"цена покупки вне коридора! ","")))&amp;IF($U68="","",IF(OR($V68="",$T68=""),"укажите цикл и цену продажи; ",IF(OR($V68&lt;INDEX(ИНФА!$N$5:$N$19,MATCH($C68,ИНФА!$I$5:$I$19,0)),$V68&gt;INDEX(ИНФА!$M$5:$M$19,MATCH($C68,ИНФА!$I$5:$I$19,0))),"цена продажи вне коридора! ","")))&amp;IF(AND($T68="",COUNTIFS($C$5:$C68,$C68,$T$5:$T68,"")&gt;INDEX(ИНФА!$Q$5:$Q$19,MATCH($C68,ИНФА!$I$5:$I$19,0))),"лотов нет! ","")&amp;IF(AND($E68&lt;&gt;"",$F68=""),"укажите цену сделки; ","")&amp;IF(AND(N($H68)&gt;0,OR($AD68="",$AD68="Профессия"),OR($H68&gt;ИНФА!$F$29,$I68&lt;INDEX(ИНФА!$N$5:$N$19,MATCH($C68,ИНФА!$I$5:$I$19,0))+ИНФА!$F$30)),"скидка больше лимита или цена ниже выкупа + 500! ","")&amp;IF($AE68="","",IF(IFERROR(INDEX($B$5:$B$204,MATCH($AE68,$A$5:$A$204,0))=$B68,TRUE()),"бизнес-пара — только со зданием другой компании; ",""))&amp;IF($Q68="","",IF(IFERROR(INDEX(НАУКА!$B$5:$B$44,MATCH($Q68,НАУКА!$A$5:$A$44,0))&lt;&gt;$B68,FALSE()),"патент другой компании — нужна лицензия или соглашение; ","")))</f>
        <v/>
      </c>
      <c r="AD68" s="44"/>
      <c r="AE68" s="44"/>
      <c r="AF68" s="38" t="str">
        <f aca="false">IF($C68="","",IF(AND($W68=1,OR($C68="Дом",$C68="Кафе")),ИНФА!$F$17*(COUNTIFS($B$5:$B68,$B68,$C$5:$C68,$C68,$W$5:$W68,1)&lt;=COUNTIFS($B$5:$B$204,$B68,$C$5:$C$204,"Парк",$W$5:$W$204,1)),0))</f>
        <v/>
      </c>
      <c r="AG68" s="38" t="str">
        <f aca="false">IF($C68="","",IF($W68=1,IF(OR(AND($AE68&lt;&gt;"",IFERROR(INDEX($W$5:$W$204,MATCH($AE68,$A$5:$A$204,0))=1,FALSE()),IFERROR(INDEX($B$5:$B$204,MATCH($AE68,$A$5:$A$204,0))&lt;&gt;$B68,FALSE())),COUNTIFS($AE$5:$AE$204,$A68,$W$5:$W$204,1,$B$5:$B$204,"&lt;&gt;"&amp;$B68)&gt;0),ИНФА!$F$31,0),0))</f>
        <v/>
      </c>
    </row>
    <row r="69" customFormat="false" ht="15" hidden="false" customHeight="false" outlineLevel="0" collapsed="false">
      <c r="A69" s="15" t="n">
        <v>65</v>
      </c>
      <c r="B69" s="44"/>
      <c r="C69" s="44"/>
      <c r="D69" s="44"/>
      <c r="E69" s="44"/>
      <c r="F69" s="43"/>
      <c r="G69" s="38" t="str">
        <f aca="false">IF($C69="","",IF($F69&lt;&gt;"",$F69,INDEX(ИНФА!$M$5:$M$19,MATCH($C69,ИНФА!$I$5:$I$19,0))))</f>
        <v/>
      </c>
      <c r="H69" s="43"/>
      <c r="I69" s="38" t="str">
        <f aca="false">IF($C69="","",G69-N(H69))</f>
        <v/>
      </c>
      <c r="J69" s="37" t="str">
        <f aca="false">IF($C69="","",INDEX(ИНФА!$J$5:$J$19,MATCH($C69,ИНФА!$I$5:$I$19,0)))</f>
        <v/>
      </c>
      <c r="K69" s="37" t="str">
        <f aca="false">IF($C69="","",INDEX(ИНФА!$K$5:$K$19,MATCH($C69,ИНФА!$I$5:$I$19,0)))</f>
        <v/>
      </c>
      <c r="L69" s="38" t="str">
        <f aca="false">IF($C69="","",INDEX(ИНФА!$O$5:$O$19,MATCH($C69,ИНФА!$I$5:$I$19,0)))</f>
        <v/>
      </c>
      <c r="M69" s="38" t="str">
        <f aca="false">IF($C69="","",INDEX(ИНФА!$P$5:$P$19,MATCH($C69,ИНФА!$I$5:$I$19,0)))</f>
        <v/>
      </c>
      <c r="N69" s="44"/>
      <c r="O69" s="48" t="n">
        <f aca="false">IF(OR($C69="",$N69=""),1,IF(AND($J69="Услуги",IFERROR(INDEX($C$5:$C$204,MATCH($N69,$A$5:$A$204,0))=INDEX(ИНФА!$L$5:$L$19,MATCH($C69,ИНФА!$I$5:$I$19,0)),FALSE()),IFERROR(INDEX($W$5:$W$204,MATCH($N69,$A$5:$A$204,0))=1,FALSE()),COUNTIF($N$5:$N69,$N69)&lt;=ИНФА!$F$16),1+ИНФА!$F$15,1))</f>
        <v>1</v>
      </c>
      <c r="P69" s="47" t="str">
        <f aca="false">IF($C69="","",IF($J69&lt;&gt;"Услуги","",IF($N69="","нет поставщика — нужен "&amp;INDEX(ИНФА!$L$5:$L$19,MATCH($C69,ИНФА!$I$5:$I$19,0)),IF($O69&gt;1,"✓ поставка работает (+50%)",IF(IFERROR(INDEX($C$5:$C$204,MATCH($N69,$A$5:$A$204,0))&lt;&gt;INDEX(ИНФА!$L$5:$L$19,MATCH($C69,ИНФА!$I$5:$I$19,0)),TRUE()),"не тот поставщик: нужен "&amp;INDEX(ИНФА!$L$5:$L$19,MATCH($C69,ИНФА!$I$5:$I$19,0)),IF(COUNTIF($N$5:$N69,$N69)&gt;ИНФА!$F$16,"поставщик перегружен","поставщик ещё не работает или продан"))))))</f>
        <v/>
      </c>
      <c r="Q69" s="44"/>
      <c r="R69" s="48" t="str">
        <f aca="false">IF($C69="","",IF($Q69="",1,IFERROR(INDEX(НАУКА!$K$5:$K$44,MATCH($Q69,НАУКА!$A$5:$A$44,0)),1)))</f>
        <v/>
      </c>
      <c r="S69" s="37" t="str">
        <f aca="false">IF($Q69="","",IFERROR(INDEX(НАУКА!$G$5:$G$44,MATCH($Q69,НАУКА!$A$5:$A$44,0)),""))</f>
        <v/>
      </c>
      <c r="T69" s="44"/>
      <c r="U69" s="44"/>
      <c r="V69" s="43"/>
      <c r="W69" s="37" t="n">
        <f aca="false">IF(OR($C69="",$D69=""),0,IF(AND($D69&lt;ИНФА!$F$5,OR($T69="",$T69&gt;=ИНФА!$F$5)),1,0))</f>
        <v>0</v>
      </c>
      <c r="X69" s="46" t="str">
        <f aca="false">IF($C69="","",INDEX(СОБЫТИЯ!$B$5:$K$8,MATCH($K69,СОБЫТИЯ!$A$5:$A$8,0),ИНФА!$F$5))</f>
        <v/>
      </c>
      <c r="Y69" s="42" t="str">
        <f aca="false">IF($C69="","",IF($W69=1,ROUND($L69*$O69*IF(AND($Q69&lt;&gt;"",$S69&lt;&gt;""),IF($S69&lt;ИНФА!$F$5,$R69,1),1)*$X69,0)-$M69+N($AF69)+N($AG69),0))</f>
        <v/>
      </c>
      <c r="Z69" s="38" t="str">
        <f aca="false">IF($C69="","",IF($T69="",INDEX(ИНФА!$M$5:$M$19,MATCH($C69,ИНФА!$I$5:$I$19,0)),0))</f>
        <v/>
      </c>
      <c r="AA69" s="38" t="str">
        <f aca="false">IF(OR($C69="",$T69=""),"",IF($V69&lt;&gt;"",$V69,INDEX(ИНФА!$N$5:$N$19,MATCH($C69,ИНФА!$I$5:$I$19,0))))</f>
        <v/>
      </c>
      <c r="AB69" s="37" t="str">
        <f aca="false">IF($C69="","",IF($T69&lt;&gt;"",IF($U69&lt;&gt;"","продано компании "&amp;$U69&amp;" в цикле "&amp;$T69,"продано Инфраструктуре в цикле "&amp;$T69),IF($D69&gt;=ИНФА!$F$5,"доход со следующего цикла","приносит доход")))</f>
        <v/>
      </c>
      <c r="AC69" s="47" t="str">
        <f aca="false">IF($C69="","",IF($F69="","",IF($E69="","укажите продавца; ",IF(OR($F69&lt;INDEX(ИНФА!$N$5:$N$19,MATCH($C69,ИНФА!$I$5:$I$19,0)),$F69&gt;INDEX(ИНФА!$M$5:$M$19,MATCH($C69,ИНФА!$I$5:$I$19,0))),"цена покупки вне коридора! ","")))&amp;IF($U69="","",IF(OR($V69="",$T69=""),"укажите цикл и цену продажи; ",IF(OR($V69&lt;INDEX(ИНФА!$N$5:$N$19,MATCH($C69,ИНФА!$I$5:$I$19,0)),$V69&gt;INDEX(ИНФА!$M$5:$M$19,MATCH($C69,ИНФА!$I$5:$I$19,0))),"цена продажи вне коридора! ","")))&amp;IF(AND($T69="",COUNTIFS($C$5:$C69,$C69,$T$5:$T69,"")&gt;INDEX(ИНФА!$Q$5:$Q$19,MATCH($C69,ИНФА!$I$5:$I$19,0))),"лотов нет! ","")&amp;IF(AND($E69&lt;&gt;"",$F69=""),"укажите цену сделки; ","")&amp;IF(AND(N($H69)&gt;0,OR($AD69="",$AD69="Профессия"),OR($H69&gt;ИНФА!$F$29,$I69&lt;INDEX(ИНФА!$N$5:$N$19,MATCH($C69,ИНФА!$I$5:$I$19,0))+ИНФА!$F$30)),"скидка больше лимита или цена ниже выкупа + 500! ","")&amp;IF($AE69="","",IF(IFERROR(INDEX($B$5:$B$204,MATCH($AE69,$A$5:$A$204,0))=$B69,TRUE()),"бизнес-пара — только со зданием другой компании; ",""))&amp;IF($Q69="","",IF(IFERROR(INDEX(НАУКА!$B$5:$B$44,MATCH($Q69,НАУКА!$A$5:$A$44,0))&lt;&gt;$B69,FALSE()),"патент другой компании — нужна лицензия или соглашение; ","")))</f>
        <v/>
      </c>
      <c r="AD69" s="44"/>
      <c r="AE69" s="44"/>
      <c r="AF69" s="38" t="str">
        <f aca="false">IF($C69="","",IF(AND($W69=1,OR($C69="Дом",$C69="Кафе")),ИНФА!$F$17*(COUNTIFS($B$5:$B69,$B69,$C$5:$C69,$C69,$W$5:$W69,1)&lt;=COUNTIFS($B$5:$B$204,$B69,$C$5:$C$204,"Парк",$W$5:$W$204,1)),0))</f>
        <v/>
      </c>
      <c r="AG69" s="38" t="str">
        <f aca="false">IF($C69="","",IF($W69=1,IF(OR(AND($AE69&lt;&gt;"",IFERROR(INDEX($W$5:$W$204,MATCH($AE69,$A$5:$A$204,0))=1,FALSE()),IFERROR(INDEX($B$5:$B$204,MATCH($AE69,$A$5:$A$204,0))&lt;&gt;$B69,FALSE())),COUNTIFS($AE$5:$AE$204,$A69,$W$5:$W$204,1,$B$5:$B$204,"&lt;&gt;"&amp;$B69)&gt;0),ИНФА!$F$31,0),0))</f>
        <v/>
      </c>
    </row>
    <row r="70" customFormat="false" ht="15" hidden="false" customHeight="false" outlineLevel="0" collapsed="false">
      <c r="A70" s="15" t="n">
        <v>66</v>
      </c>
      <c r="B70" s="44"/>
      <c r="C70" s="44"/>
      <c r="D70" s="44"/>
      <c r="E70" s="44"/>
      <c r="F70" s="43"/>
      <c r="G70" s="38" t="str">
        <f aca="false">IF($C70="","",IF($F70&lt;&gt;"",$F70,INDEX(ИНФА!$M$5:$M$19,MATCH($C70,ИНФА!$I$5:$I$19,0))))</f>
        <v/>
      </c>
      <c r="H70" s="43"/>
      <c r="I70" s="38" t="str">
        <f aca="false">IF($C70="","",G70-N(H70))</f>
        <v/>
      </c>
      <c r="J70" s="37" t="str">
        <f aca="false">IF($C70="","",INDEX(ИНФА!$J$5:$J$19,MATCH($C70,ИНФА!$I$5:$I$19,0)))</f>
        <v/>
      </c>
      <c r="K70" s="37" t="str">
        <f aca="false">IF($C70="","",INDEX(ИНФА!$K$5:$K$19,MATCH($C70,ИНФА!$I$5:$I$19,0)))</f>
        <v/>
      </c>
      <c r="L70" s="38" t="str">
        <f aca="false">IF($C70="","",INDEX(ИНФА!$O$5:$O$19,MATCH($C70,ИНФА!$I$5:$I$19,0)))</f>
        <v/>
      </c>
      <c r="M70" s="38" t="str">
        <f aca="false">IF($C70="","",INDEX(ИНФА!$P$5:$P$19,MATCH($C70,ИНФА!$I$5:$I$19,0)))</f>
        <v/>
      </c>
      <c r="N70" s="44"/>
      <c r="O70" s="48" t="n">
        <f aca="false">IF(OR($C70="",$N70=""),1,IF(AND($J70="Услуги",IFERROR(INDEX($C$5:$C$204,MATCH($N70,$A$5:$A$204,0))=INDEX(ИНФА!$L$5:$L$19,MATCH($C70,ИНФА!$I$5:$I$19,0)),FALSE()),IFERROR(INDEX($W$5:$W$204,MATCH($N70,$A$5:$A$204,0))=1,FALSE()),COUNTIF($N$5:$N70,$N70)&lt;=ИНФА!$F$16),1+ИНФА!$F$15,1))</f>
        <v>1</v>
      </c>
      <c r="P70" s="47" t="str">
        <f aca="false">IF($C70="","",IF($J70&lt;&gt;"Услуги","",IF($N70="","нет поставщика — нужен "&amp;INDEX(ИНФА!$L$5:$L$19,MATCH($C70,ИНФА!$I$5:$I$19,0)),IF($O70&gt;1,"✓ поставка работает (+50%)",IF(IFERROR(INDEX($C$5:$C$204,MATCH($N70,$A$5:$A$204,0))&lt;&gt;INDEX(ИНФА!$L$5:$L$19,MATCH($C70,ИНФА!$I$5:$I$19,0)),TRUE()),"не тот поставщик: нужен "&amp;INDEX(ИНФА!$L$5:$L$19,MATCH($C70,ИНФА!$I$5:$I$19,0)),IF(COUNTIF($N$5:$N70,$N70)&gt;ИНФА!$F$16,"поставщик перегружен","поставщик ещё не работает или продан"))))))</f>
        <v/>
      </c>
      <c r="Q70" s="44"/>
      <c r="R70" s="48" t="str">
        <f aca="false">IF($C70="","",IF($Q70="",1,IFERROR(INDEX(НАУКА!$K$5:$K$44,MATCH($Q70,НАУКА!$A$5:$A$44,0)),1)))</f>
        <v/>
      </c>
      <c r="S70" s="37" t="str">
        <f aca="false">IF($Q70="","",IFERROR(INDEX(НАУКА!$G$5:$G$44,MATCH($Q70,НАУКА!$A$5:$A$44,0)),""))</f>
        <v/>
      </c>
      <c r="T70" s="44"/>
      <c r="U70" s="44"/>
      <c r="V70" s="43"/>
      <c r="W70" s="37" t="n">
        <f aca="false">IF(OR($C70="",$D70=""),0,IF(AND($D70&lt;ИНФА!$F$5,OR($T70="",$T70&gt;=ИНФА!$F$5)),1,0))</f>
        <v>0</v>
      </c>
      <c r="X70" s="46" t="str">
        <f aca="false">IF($C70="","",INDEX(СОБЫТИЯ!$B$5:$K$8,MATCH($K70,СОБЫТИЯ!$A$5:$A$8,0),ИНФА!$F$5))</f>
        <v/>
      </c>
      <c r="Y70" s="42" t="str">
        <f aca="false">IF($C70="","",IF($W70=1,ROUND($L70*$O70*IF(AND($Q70&lt;&gt;"",$S70&lt;&gt;""),IF($S70&lt;ИНФА!$F$5,$R70,1),1)*$X70,0)-$M70+N($AF70)+N($AG70),0))</f>
        <v/>
      </c>
      <c r="Z70" s="38" t="str">
        <f aca="false">IF($C70="","",IF($T70="",INDEX(ИНФА!$M$5:$M$19,MATCH($C70,ИНФА!$I$5:$I$19,0)),0))</f>
        <v/>
      </c>
      <c r="AA70" s="38" t="str">
        <f aca="false">IF(OR($C70="",$T70=""),"",IF($V70&lt;&gt;"",$V70,INDEX(ИНФА!$N$5:$N$19,MATCH($C70,ИНФА!$I$5:$I$19,0))))</f>
        <v/>
      </c>
      <c r="AB70" s="37" t="str">
        <f aca="false">IF($C70="","",IF($T70&lt;&gt;"",IF($U70&lt;&gt;"","продано компании "&amp;$U70&amp;" в цикле "&amp;$T70,"продано Инфраструктуре в цикле "&amp;$T70),IF($D70&gt;=ИНФА!$F$5,"доход со следующего цикла","приносит доход")))</f>
        <v/>
      </c>
      <c r="AC70" s="47" t="str">
        <f aca="false">IF($C70="","",IF($F70="","",IF($E70="","укажите продавца; ",IF(OR($F70&lt;INDEX(ИНФА!$N$5:$N$19,MATCH($C70,ИНФА!$I$5:$I$19,0)),$F70&gt;INDEX(ИНФА!$M$5:$M$19,MATCH($C70,ИНФА!$I$5:$I$19,0))),"цена покупки вне коридора! ","")))&amp;IF($U70="","",IF(OR($V70="",$T70=""),"укажите цикл и цену продажи; ",IF(OR($V70&lt;INDEX(ИНФА!$N$5:$N$19,MATCH($C70,ИНФА!$I$5:$I$19,0)),$V70&gt;INDEX(ИНФА!$M$5:$M$19,MATCH($C70,ИНФА!$I$5:$I$19,0))),"цена продажи вне коридора! ","")))&amp;IF(AND($T70="",COUNTIFS($C$5:$C70,$C70,$T$5:$T70,"")&gt;INDEX(ИНФА!$Q$5:$Q$19,MATCH($C70,ИНФА!$I$5:$I$19,0))),"лотов нет! ","")&amp;IF(AND($E70&lt;&gt;"",$F70=""),"укажите цену сделки; ","")&amp;IF(AND(N($H70)&gt;0,OR($AD70="",$AD70="Профессия"),OR($H70&gt;ИНФА!$F$29,$I70&lt;INDEX(ИНФА!$N$5:$N$19,MATCH($C70,ИНФА!$I$5:$I$19,0))+ИНФА!$F$30)),"скидка больше лимита или цена ниже выкупа + 500! ","")&amp;IF($AE70="","",IF(IFERROR(INDEX($B$5:$B$204,MATCH($AE70,$A$5:$A$204,0))=$B70,TRUE()),"бизнес-пара — только со зданием другой компании; ",""))&amp;IF($Q70="","",IF(IFERROR(INDEX(НАУКА!$B$5:$B$44,MATCH($Q70,НАУКА!$A$5:$A$44,0))&lt;&gt;$B70,FALSE()),"патент другой компании — нужна лицензия или соглашение; ","")))</f>
        <v/>
      </c>
      <c r="AD70" s="44"/>
      <c r="AE70" s="44"/>
      <c r="AF70" s="38" t="str">
        <f aca="false">IF($C70="","",IF(AND($W70=1,OR($C70="Дом",$C70="Кафе")),ИНФА!$F$17*(COUNTIFS($B$5:$B70,$B70,$C$5:$C70,$C70,$W$5:$W70,1)&lt;=COUNTIFS($B$5:$B$204,$B70,$C$5:$C$204,"Парк",$W$5:$W$204,1)),0))</f>
        <v/>
      </c>
      <c r="AG70" s="38" t="str">
        <f aca="false">IF($C70="","",IF($W70=1,IF(OR(AND($AE70&lt;&gt;"",IFERROR(INDEX($W$5:$W$204,MATCH($AE70,$A$5:$A$204,0))=1,FALSE()),IFERROR(INDEX($B$5:$B$204,MATCH($AE70,$A$5:$A$204,0))&lt;&gt;$B70,FALSE())),COUNTIFS($AE$5:$AE$204,$A70,$W$5:$W$204,1,$B$5:$B$204,"&lt;&gt;"&amp;$B70)&gt;0),ИНФА!$F$31,0),0))</f>
        <v/>
      </c>
    </row>
    <row r="71" customFormat="false" ht="15" hidden="false" customHeight="false" outlineLevel="0" collapsed="false">
      <c r="A71" s="15" t="n">
        <v>67</v>
      </c>
      <c r="B71" s="44"/>
      <c r="C71" s="44"/>
      <c r="D71" s="44"/>
      <c r="E71" s="44"/>
      <c r="F71" s="43"/>
      <c r="G71" s="38" t="str">
        <f aca="false">IF($C71="","",IF($F71&lt;&gt;"",$F71,INDEX(ИНФА!$M$5:$M$19,MATCH($C71,ИНФА!$I$5:$I$19,0))))</f>
        <v/>
      </c>
      <c r="H71" s="43"/>
      <c r="I71" s="38" t="str">
        <f aca="false">IF($C71="","",G71-N(H71))</f>
        <v/>
      </c>
      <c r="J71" s="37" t="str">
        <f aca="false">IF($C71="","",INDEX(ИНФА!$J$5:$J$19,MATCH($C71,ИНФА!$I$5:$I$19,0)))</f>
        <v/>
      </c>
      <c r="K71" s="37" t="str">
        <f aca="false">IF($C71="","",INDEX(ИНФА!$K$5:$K$19,MATCH($C71,ИНФА!$I$5:$I$19,0)))</f>
        <v/>
      </c>
      <c r="L71" s="38" t="str">
        <f aca="false">IF($C71="","",INDEX(ИНФА!$O$5:$O$19,MATCH($C71,ИНФА!$I$5:$I$19,0)))</f>
        <v/>
      </c>
      <c r="M71" s="38" t="str">
        <f aca="false">IF($C71="","",INDEX(ИНФА!$P$5:$P$19,MATCH($C71,ИНФА!$I$5:$I$19,0)))</f>
        <v/>
      </c>
      <c r="N71" s="44"/>
      <c r="O71" s="48" t="n">
        <f aca="false">IF(OR($C71="",$N71=""),1,IF(AND($J71="Услуги",IFERROR(INDEX($C$5:$C$204,MATCH($N71,$A$5:$A$204,0))=INDEX(ИНФА!$L$5:$L$19,MATCH($C71,ИНФА!$I$5:$I$19,0)),FALSE()),IFERROR(INDEX($W$5:$W$204,MATCH($N71,$A$5:$A$204,0))=1,FALSE()),COUNTIF($N$5:$N71,$N71)&lt;=ИНФА!$F$16),1+ИНФА!$F$15,1))</f>
        <v>1</v>
      </c>
      <c r="P71" s="47" t="str">
        <f aca="false">IF($C71="","",IF($J71&lt;&gt;"Услуги","",IF($N71="","нет поставщика — нужен "&amp;INDEX(ИНФА!$L$5:$L$19,MATCH($C71,ИНФА!$I$5:$I$19,0)),IF($O71&gt;1,"✓ поставка работает (+50%)",IF(IFERROR(INDEX($C$5:$C$204,MATCH($N71,$A$5:$A$204,0))&lt;&gt;INDEX(ИНФА!$L$5:$L$19,MATCH($C71,ИНФА!$I$5:$I$19,0)),TRUE()),"не тот поставщик: нужен "&amp;INDEX(ИНФА!$L$5:$L$19,MATCH($C71,ИНФА!$I$5:$I$19,0)),IF(COUNTIF($N$5:$N71,$N71)&gt;ИНФА!$F$16,"поставщик перегружен","поставщик ещё не работает или продан"))))))</f>
        <v/>
      </c>
      <c r="Q71" s="44"/>
      <c r="R71" s="48" t="str">
        <f aca="false">IF($C71="","",IF($Q71="",1,IFERROR(INDEX(НАУКА!$K$5:$K$44,MATCH($Q71,НАУКА!$A$5:$A$44,0)),1)))</f>
        <v/>
      </c>
      <c r="S71" s="37" t="str">
        <f aca="false">IF($Q71="","",IFERROR(INDEX(НАУКА!$G$5:$G$44,MATCH($Q71,НАУКА!$A$5:$A$44,0)),""))</f>
        <v/>
      </c>
      <c r="T71" s="44"/>
      <c r="U71" s="44"/>
      <c r="V71" s="43"/>
      <c r="W71" s="37" t="n">
        <f aca="false">IF(OR($C71="",$D71=""),0,IF(AND($D71&lt;ИНФА!$F$5,OR($T71="",$T71&gt;=ИНФА!$F$5)),1,0))</f>
        <v>0</v>
      </c>
      <c r="X71" s="46" t="str">
        <f aca="false">IF($C71="","",INDEX(СОБЫТИЯ!$B$5:$K$8,MATCH($K71,СОБЫТИЯ!$A$5:$A$8,0),ИНФА!$F$5))</f>
        <v/>
      </c>
      <c r="Y71" s="42" t="str">
        <f aca="false">IF($C71="","",IF($W71=1,ROUND($L71*$O71*IF(AND($Q71&lt;&gt;"",$S71&lt;&gt;""),IF($S71&lt;ИНФА!$F$5,$R71,1),1)*$X71,0)-$M71+N($AF71)+N($AG71),0))</f>
        <v/>
      </c>
      <c r="Z71" s="38" t="str">
        <f aca="false">IF($C71="","",IF($T71="",INDEX(ИНФА!$M$5:$M$19,MATCH($C71,ИНФА!$I$5:$I$19,0)),0))</f>
        <v/>
      </c>
      <c r="AA71" s="38" t="str">
        <f aca="false">IF(OR($C71="",$T71=""),"",IF($V71&lt;&gt;"",$V71,INDEX(ИНФА!$N$5:$N$19,MATCH($C71,ИНФА!$I$5:$I$19,0))))</f>
        <v/>
      </c>
      <c r="AB71" s="37" t="str">
        <f aca="false">IF($C71="","",IF($T71&lt;&gt;"",IF($U71&lt;&gt;"","продано компании "&amp;$U71&amp;" в цикле "&amp;$T71,"продано Инфраструктуре в цикле "&amp;$T71),IF($D71&gt;=ИНФА!$F$5,"доход со следующего цикла","приносит доход")))</f>
        <v/>
      </c>
      <c r="AC71" s="47" t="str">
        <f aca="false">IF($C71="","",IF($F71="","",IF($E71="","укажите продавца; ",IF(OR($F71&lt;INDEX(ИНФА!$N$5:$N$19,MATCH($C71,ИНФА!$I$5:$I$19,0)),$F71&gt;INDEX(ИНФА!$M$5:$M$19,MATCH($C71,ИНФА!$I$5:$I$19,0))),"цена покупки вне коридора! ","")))&amp;IF($U71="","",IF(OR($V71="",$T71=""),"укажите цикл и цену продажи; ",IF(OR($V71&lt;INDEX(ИНФА!$N$5:$N$19,MATCH($C71,ИНФА!$I$5:$I$19,0)),$V71&gt;INDEX(ИНФА!$M$5:$M$19,MATCH($C71,ИНФА!$I$5:$I$19,0))),"цена продажи вне коридора! ","")))&amp;IF(AND($T71="",COUNTIFS($C$5:$C71,$C71,$T$5:$T71,"")&gt;INDEX(ИНФА!$Q$5:$Q$19,MATCH($C71,ИНФА!$I$5:$I$19,0))),"лотов нет! ","")&amp;IF(AND($E71&lt;&gt;"",$F71=""),"укажите цену сделки; ","")&amp;IF(AND(N($H71)&gt;0,OR($AD71="",$AD71="Профессия"),OR($H71&gt;ИНФА!$F$29,$I71&lt;INDEX(ИНФА!$N$5:$N$19,MATCH($C71,ИНФА!$I$5:$I$19,0))+ИНФА!$F$30)),"скидка больше лимита или цена ниже выкупа + 500! ","")&amp;IF($AE71="","",IF(IFERROR(INDEX($B$5:$B$204,MATCH($AE71,$A$5:$A$204,0))=$B71,TRUE()),"бизнес-пара — только со зданием другой компании; ",""))&amp;IF($Q71="","",IF(IFERROR(INDEX(НАУКА!$B$5:$B$44,MATCH($Q71,НАУКА!$A$5:$A$44,0))&lt;&gt;$B71,FALSE()),"патент другой компании — нужна лицензия или соглашение; ","")))</f>
        <v/>
      </c>
      <c r="AD71" s="44"/>
      <c r="AE71" s="44"/>
      <c r="AF71" s="38" t="str">
        <f aca="false">IF($C71="","",IF(AND($W71=1,OR($C71="Дом",$C71="Кафе")),ИНФА!$F$17*(COUNTIFS($B$5:$B71,$B71,$C$5:$C71,$C71,$W$5:$W71,1)&lt;=COUNTIFS($B$5:$B$204,$B71,$C$5:$C$204,"Парк",$W$5:$W$204,1)),0))</f>
        <v/>
      </c>
      <c r="AG71" s="38" t="str">
        <f aca="false">IF($C71="","",IF($W71=1,IF(OR(AND($AE71&lt;&gt;"",IFERROR(INDEX($W$5:$W$204,MATCH($AE71,$A$5:$A$204,0))=1,FALSE()),IFERROR(INDEX($B$5:$B$204,MATCH($AE71,$A$5:$A$204,0))&lt;&gt;$B71,FALSE())),COUNTIFS($AE$5:$AE$204,$A71,$W$5:$W$204,1,$B$5:$B$204,"&lt;&gt;"&amp;$B71)&gt;0),ИНФА!$F$31,0),0))</f>
        <v/>
      </c>
    </row>
    <row r="72" customFormat="false" ht="15" hidden="false" customHeight="false" outlineLevel="0" collapsed="false">
      <c r="A72" s="15" t="n">
        <v>68</v>
      </c>
      <c r="B72" s="44"/>
      <c r="C72" s="44"/>
      <c r="D72" s="44"/>
      <c r="E72" s="44"/>
      <c r="F72" s="43"/>
      <c r="G72" s="38" t="str">
        <f aca="false">IF($C72="","",IF($F72&lt;&gt;"",$F72,INDEX(ИНФА!$M$5:$M$19,MATCH($C72,ИНФА!$I$5:$I$19,0))))</f>
        <v/>
      </c>
      <c r="H72" s="43"/>
      <c r="I72" s="38" t="str">
        <f aca="false">IF($C72="","",G72-N(H72))</f>
        <v/>
      </c>
      <c r="J72" s="37" t="str">
        <f aca="false">IF($C72="","",INDEX(ИНФА!$J$5:$J$19,MATCH($C72,ИНФА!$I$5:$I$19,0)))</f>
        <v/>
      </c>
      <c r="K72" s="37" t="str">
        <f aca="false">IF($C72="","",INDEX(ИНФА!$K$5:$K$19,MATCH($C72,ИНФА!$I$5:$I$19,0)))</f>
        <v/>
      </c>
      <c r="L72" s="38" t="str">
        <f aca="false">IF($C72="","",INDEX(ИНФА!$O$5:$O$19,MATCH($C72,ИНФА!$I$5:$I$19,0)))</f>
        <v/>
      </c>
      <c r="M72" s="38" t="str">
        <f aca="false">IF($C72="","",INDEX(ИНФА!$P$5:$P$19,MATCH($C72,ИНФА!$I$5:$I$19,0)))</f>
        <v/>
      </c>
      <c r="N72" s="44"/>
      <c r="O72" s="48" t="n">
        <f aca="false">IF(OR($C72="",$N72=""),1,IF(AND($J72="Услуги",IFERROR(INDEX($C$5:$C$204,MATCH($N72,$A$5:$A$204,0))=INDEX(ИНФА!$L$5:$L$19,MATCH($C72,ИНФА!$I$5:$I$19,0)),FALSE()),IFERROR(INDEX($W$5:$W$204,MATCH($N72,$A$5:$A$204,0))=1,FALSE()),COUNTIF($N$5:$N72,$N72)&lt;=ИНФА!$F$16),1+ИНФА!$F$15,1))</f>
        <v>1</v>
      </c>
      <c r="P72" s="47" t="str">
        <f aca="false">IF($C72="","",IF($J72&lt;&gt;"Услуги","",IF($N72="","нет поставщика — нужен "&amp;INDEX(ИНФА!$L$5:$L$19,MATCH($C72,ИНФА!$I$5:$I$19,0)),IF($O72&gt;1,"✓ поставка работает (+50%)",IF(IFERROR(INDEX($C$5:$C$204,MATCH($N72,$A$5:$A$204,0))&lt;&gt;INDEX(ИНФА!$L$5:$L$19,MATCH($C72,ИНФА!$I$5:$I$19,0)),TRUE()),"не тот поставщик: нужен "&amp;INDEX(ИНФА!$L$5:$L$19,MATCH($C72,ИНФА!$I$5:$I$19,0)),IF(COUNTIF($N$5:$N72,$N72)&gt;ИНФА!$F$16,"поставщик перегружен","поставщик ещё не работает или продан"))))))</f>
        <v/>
      </c>
      <c r="Q72" s="44"/>
      <c r="R72" s="48" t="str">
        <f aca="false">IF($C72="","",IF($Q72="",1,IFERROR(INDEX(НАУКА!$K$5:$K$44,MATCH($Q72,НАУКА!$A$5:$A$44,0)),1)))</f>
        <v/>
      </c>
      <c r="S72" s="37" t="str">
        <f aca="false">IF($Q72="","",IFERROR(INDEX(НАУКА!$G$5:$G$44,MATCH($Q72,НАУКА!$A$5:$A$44,0)),""))</f>
        <v/>
      </c>
      <c r="T72" s="44"/>
      <c r="U72" s="44"/>
      <c r="V72" s="43"/>
      <c r="W72" s="37" t="n">
        <f aca="false">IF(OR($C72="",$D72=""),0,IF(AND($D72&lt;ИНФА!$F$5,OR($T72="",$T72&gt;=ИНФА!$F$5)),1,0))</f>
        <v>0</v>
      </c>
      <c r="X72" s="46" t="str">
        <f aca="false">IF($C72="","",INDEX(СОБЫТИЯ!$B$5:$K$8,MATCH($K72,СОБЫТИЯ!$A$5:$A$8,0),ИНФА!$F$5))</f>
        <v/>
      </c>
      <c r="Y72" s="42" t="str">
        <f aca="false">IF($C72="","",IF($W72=1,ROUND($L72*$O72*IF(AND($Q72&lt;&gt;"",$S72&lt;&gt;""),IF($S72&lt;ИНФА!$F$5,$R72,1),1)*$X72,0)-$M72+N($AF72)+N($AG72),0))</f>
        <v/>
      </c>
      <c r="Z72" s="38" t="str">
        <f aca="false">IF($C72="","",IF($T72="",INDEX(ИНФА!$M$5:$M$19,MATCH($C72,ИНФА!$I$5:$I$19,0)),0))</f>
        <v/>
      </c>
      <c r="AA72" s="38" t="str">
        <f aca="false">IF(OR($C72="",$T72=""),"",IF($V72&lt;&gt;"",$V72,INDEX(ИНФА!$N$5:$N$19,MATCH($C72,ИНФА!$I$5:$I$19,0))))</f>
        <v/>
      </c>
      <c r="AB72" s="37" t="str">
        <f aca="false">IF($C72="","",IF($T72&lt;&gt;"",IF($U72&lt;&gt;"","продано компании "&amp;$U72&amp;" в цикле "&amp;$T72,"продано Инфраструктуре в цикле "&amp;$T72),IF($D72&gt;=ИНФА!$F$5,"доход со следующего цикла","приносит доход")))</f>
        <v/>
      </c>
      <c r="AC72" s="47" t="str">
        <f aca="false">IF($C72="","",IF($F72="","",IF($E72="","укажите продавца; ",IF(OR($F72&lt;INDEX(ИНФА!$N$5:$N$19,MATCH($C72,ИНФА!$I$5:$I$19,0)),$F72&gt;INDEX(ИНФА!$M$5:$M$19,MATCH($C72,ИНФА!$I$5:$I$19,0))),"цена покупки вне коридора! ","")))&amp;IF($U72="","",IF(OR($V72="",$T72=""),"укажите цикл и цену продажи; ",IF(OR($V72&lt;INDEX(ИНФА!$N$5:$N$19,MATCH($C72,ИНФА!$I$5:$I$19,0)),$V72&gt;INDEX(ИНФА!$M$5:$M$19,MATCH($C72,ИНФА!$I$5:$I$19,0))),"цена продажи вне коридора! ","")))&amp;IF(AND($T72="",COUNTIFS($C$5:$C72,$C72,$T$5:$T72,"")&gt;INDEX(ИНФА!$Q$5:$Q$19,MATCH($C72,ИНФА!$I$5:$I$19,0))),"лотов нет! ","")&amp;IF(AND($E72&lt;&gt;"",$F72=""),"укажите цену сделки; ","")&amp;IF(AND(N($H72)&gt;0,OR($AD72="",$AD72="Профессия"),OR($H72&gt;ИНФА!$F$29,$I72&lt;INDEX(ИНФА!$N$5:$N$19,MATCH($C72,ИНФА!$I$5:$I$19,0))+ИНФА!$F$30)),"скидка больше лимита или цена ниже выкупа + 500! ","")&amp;IF($AE72="","",IF(IFERROR(INDEX($B$5:$B$204,MATCH($AE72,$A$5:$A$204,0))=$B72,TRUE()),"бизнес-пара — только со зданием другой компании; ",""))&amp;IF($Q72="","",IF(IFERROR(INDEX(НАУКА!$B$5:$B$44,MATCH($Q72,НАУКА!$A$5:$A$44,0))&lt;&gt;$B72,FALSE()),"патент другой компании — нужна лицензия или соглашение; ","")))</f>
        <v/>
      </c>
      <c r="AD72" s="44"/>
      <c r="AE72" s="44"/>
      <c r="AF72" s="38" t="str">
        <f aca="false">IF($C72="","",IF(AND($W72=1,OR($C72="Дом",$C72="Кафе")),ИНФА!$F$17*(COUNTIFS($B$5:$B72,$B72,$C$5:$C72,$C72,$W$5:$W72,1)&lt;=COUNTIFS($B$5:$B$204,$B72,$C$5:$C$204,"Парк",$W$5:$W$204,1)),0))</f>
        <v/>
      </c>
      <c r="AG72" s="38" t="str">
        <f aca="false">IF($C72="","",IF($W72=1,IF(OR(AND($AE72&lt;&gt;"",IFERROR(INDEX($W$5:$W$204,MATCH($AE72,$A$5:$A$204,0))=1,FALSE()),IFERROR(INDEX($B$5:$B$204,MATCH($AE72,$A$5:$A$204,0))&lt;&gt;$B72,FALSE())),COUNTIFS($AE$5:$AE$204,$A72,$W$5:$W$204,1,$B$5:$B$204,"&lt;&gt;"&amp;$B72)&gt;0),ИНФА!$F$31,0),0))</f>
        <v/>
      </c>
    </row>
    <row r="73" customFormat="false" ht="15" hidden="false" customHeight="false" outlineLevel="0" collapsed="false">
      <c r="A73" s="15" t="n">
        <v>69</v>
      </c>
      <c r="B73" s="44"/>
      <c r="C73" s="44"/>
      <c r="D73" s="44"/>
      <c r="E73" s="44"/>
      <c r="F73" s="43"/>
      <c r="G73" s="38" t="str">
        <f aca="false">IF($C73="","",IF($F73&lt;&gt;"",$F73,INDEX(ИНФА!$M$5:$M$19,MATCH($C73,ИНФА!$I$5:$I$19,0))))</f>
        <v/>
      </c>
      <c r="H73" s="43"/>
      <c r="I73" s="38" t="str">
        <f aca="false">IF($C73="","",G73-N(H73))</f>
        <v/>
      </c>
      <c r="J73" s="37" t="str">
        <f aca="false">IF($C73="","",INDEX(ИНФА!$J$5:$J$19,MATCH($C73,ИНФА!$I$5:$I$19,0)))</f>
        <v/>
      </c>
      <c r="K73" s="37" t="str">
        <f aca="false">IF($C73="","",INDEX(ИНФА!$K$5:$K$19,MATCH($C73,ИНФА!$I$5:$I$19,0)))</f>
        <v/>
      </c>
      <c r="L73" s="38" t="str">
        <f aca="false">IF($C73="","",INDEX(ИНФА!$O$5:$O$19,MATCH($C73,ИНФА!$I$5:$I$19,0)))</f>
        <v/>
      </c>
      <c r="M73" s="38" t="str">
        <f aca="false">IF($C73="","",INDEX(ИНФА!$P$5:$P$19,MATCH($C73,ИНФА!$I$5:$I$19,0)))</f>
        <v/>
      </c>
      <c r="N73" s="44"/>
      <c r="O73" s="48" t="n">
        <f aca="false">IF(OR($C73="",$N73=""),1,IF(AND($J73="Услуги",IFERROR(INDEX($C$5:$C$204,MATCH($N73,$A$5:$A$204,0))=INDEX(ИНФА!$L$5:$L$19,MATCH($C73,ИНФА!$I$5:$I$19,0)),FALSE()),IFERROR(INDEX($W$5:$W$204,MATCH($N73,$A$5:$A$204,0))=1,FALSE()),COUNTIF($N$5:$N73,$N73)&lt;=ИНФА!$F$16),1+ИНФА!$F$15,1))</f>
        <v>1</v>
      </c>
      <c r="P73" s="47" t="str">
        <f aca="false">IF($C73="","",IF($J73&lt;&gt;"Услуги","",IF($N73="","нет поставщика — нужен "&amp;INDEX(ИНФА!$L$5:$L$19,MATCH($C73,ИНФА!$I$5:$I$19,0)),IF($O73&gt;1,"✓ поставка работает (+50%)",IF(IFERROR(INDEX($C$5:$C$204,MATCH($N73,$A$5:$A$204,0))&lt;&gt;INDEX(ИНФА!$L$5:$L$19,MATCH($C73,ИНФА!$I$5:$I$19,0)),TRUE()),"не тот поставщик: нужен "&amp;INDEX(ИНФА!$L$5:$L$19,MATCH($C73,ИНФА!$I$5:$I$19,0)),IF(COUNTIF($N$5:$N73,$N73)&gt;ИНФА!$F$16,"поставщик перегружен","поставщик ещё не работает или продан"))))))</f>
        <v/>
      </c>
      <c r="Q73" s="44"/>
      <c r="R73" s="48" t="str">
        <f aca="false">IF($C73="","",IF($Q73="",1,IFERROR(INDEX(НАУКА!$K$5:$K$44,MATCH($Q73,НАУКА!$A$5:$A$44,0)),1)))</f>
        <v/>
      </c>
      <c r="S73" s="37" t="str">
        <f aca="false">IF($Q73="","",IFERROR(INDEX(НАУКА!$G$5:$G$44,MATCH($Q73,НАУКА!$A$5:$A$44,0)),""))</f>
        <v/>
      </c>
      <c r="T73" s="44"/>
      <c r="U73" s="44"/>
      <c r="V73" s="43"/>
      <c r="W73" s="37" t="n">
        <f aca="false">IF(OR($C73="",$D73=""),0,IF(AND($D73&lt;ИНФА!$F$5,OR($T73="",$T73&gt;=ИНФА!$F$5)),1,0))</f>
        <v>0</v>
      </c>
      <c r="X73" s="46" t="str">
        <f aca="false">IF($C73="","",INDEX(СОБЫТИЯ!$B$5:$K$8,MATCH($K73,СОБЫТИЯ!$A$5:$A$8,0),ИНФА!$F$5))</f>
        <v/>
      </c>
      <c r="Y73" s="42" t="str">
        <f aca="false">IF($C73="","",IF($W73=1,ROUND($L73*$O73*IF(AND($Q73&lt;&gt;"",$S73&lt;&gt;""),IF($S73&lt;ИНФА!$F$5,$R73,1),1)*$X73,0)-$M73+N($AF73)+N($AG73),0))</f>
        <v/>
      </c>
      <c r="Z73" s="38" t="str">
        <f aca="false">IF($C73="","",IF($T73="",INDEX(ИНФА!$M$5:$M$19,MATCH($C73,ИНФА!$I$5:$I$19,0)),0))</f>
        <v/>
      </c>
      <c r="AA73" s="38" t="str">
        <f aca="false">IF(OR($C73="",$T73=""),"",IF($V73&lt;&gt;"",$V73,INDEX(ИНФА!$N$5:$N$19,MATCH($C73,ИНФА!$I$5:$I$19,0))))</f>
        <v/>
      </c>
      <c r="AB73" s="37" t="str">
        <f aca="false">IF($C73="","",IF($T73&lt;&gt;"",IF($U73&lt;&gt;"","продано компании "&amp;$U73&amp;" в цикле "&amp;$T73,"продано Инфраструктуре в цикле "&amp;$T73),IF($D73&gt;=ИНФА!$F$5,"доход со следующего цикла","приносит доход")))</f>
        <v/>
      </c>
      <c r="AC73" s="47" t="str">
        <f aca="false">IF($C73="","",IF($F73="","",IF($E73="","укажите продавца; ",IF(OR($F73&lt;INDEX(ИНФА!$N$5:$N$19,MATCH($C73,ИНФА!$I$5:$I$19,0)),$F73&gt;INDEX(ИНФА!$M$5:$M$19,MATCH($C73,ИНФА!$I$5:$I$19,0))),"цена покупки вне коридора! ","")))&amp;IF($U73="","",IF(OR($V73="",$T73=""),"укажите цикл и цену продажи; ",IF(OR($V73&lt;INDEX(ИНФА!$N$5:$N$19,MATCH($C73,ИНФА!$I$5:$I$19,0)),$V73&gt;INDEX(ИНФА!$M$5:$M$19,MATCH($C73,ИНФА!$I$5:$I$19,0))),"цена продажи вне коридора! ","")))&amp;IF(AND($T73="",COUNTIFS($C$5:$C73,$C73,$T$5:$T73,"")&gt;INDEX(ИНФА!$Q$5:$Q$19,MATCH($C73,ИНФА!$I$5:$I$19,0))),"лотов нет! ","")&amp;IF(AND($E73&lt;&gt;"",$F73=""),"укажите цену сделки; ","")&amp;IF(AND(N($H73)&gt;0,OR($AD73="",$AD73="Профессия"),OR($H73&gt;ИНФА!$F$29,$I73&lt;INDEX(ИНФА!$N$5:$N$19,MATCH($C73,ИНФА!$I$5:$I$19,0))+ИНФА!$F$30)),"скидка больше лимита или цена ниже выкупа + 500! ","")&amp;IF($AE73="","",IF(IFERROR(INDEX($B$5:$B$204,MATCH($AE73,$A$5:$A$204,0))=$B73,TRUE()),"бизнес-пара — только со зданием другой компании; ",""))&amp;IF($Q73="","",IF(IFERROR(INDEX(НАУКА!$B$5:$B$44,MATCH($Q73,НАУКА!$A$5:$A$44,0))&lt;&gt;$B73,FALSE()),"патент другой компании — нужна лицензия или соглашение; ","")))</f>
        <v/>
      </c>
      <c r="AD73" s="44"/>
      <c r="AE73" s="44"/>
      <c r="AF73" s="38" t="str">
        <f aca="false">IF($C73="","",IF(AND($W73=1,OR($C73="Дом",$C73="Кафе")),ИНФА!$F$17*(COUNTIFS($B$5:$B73,$B73,$C$5:$C73,$C73,$W$5:$W73,1)&lt;=COUNTIFS($B$5:$B$204,$B73,$C$5:$C$204,"Парк",$W$5:$W$204,1)),0))</f>
        <v/>
      </c>
      <c r="AG73" s="38" t="str">
        <f aca="false">IF($C73="","",IF($W73=1,IF(OR(AND($AE73&lt;&gt;"",IFERROR(INDEX($W$5:$W$204,MATCH($AE73,$A$5:$A$204,0))=1,FALSE()),IFERROR(INDEX($B$5:$B$204,MATCH($AE73,$A$5:$A$204,0))&lt;&gt;$B73,FALSE())),COUNTIFS($AE$5:$AE$204,$A73,$W$5:$W$204,1,$B$5:$B$204,"&lt;&gt;"&amp;$B73)&gt;0),ИНФА!$F$31,0),0))</f>
        <v/>
      </c>
    </row>
    <row r="74" customFormat="false" ht="15" hidden="false" customHeight="false" outlineLevel="0" collapsed="false">
      <c r="A74" s="15" t="n">
        <v>70</v>
      </c>
      <c r="B74" s="44"/>
      <c r="C74" s="44"/>
      <c r="D74" s="44"/>
      <c r="E74" s="44"/>
      <c r="F74" s="43"/>
      <c r="G74" s="38" t="str">
        <f aca="false">IF($C74="","",IF($F74&lt;&gt;"",$F74,INDEX(ИНФА!$M$5:$M$19,MATCH($C74,ИНФА!$I$5:$I$19,0))))</f>
        <v/>
      </c>
      <c r="H74" s="43"/>
      <c r="I74" s="38" t="str">
        <f aca="false">IF($C74="","",G74-N(H74))</f>
        <v/>
      </c>
      <c r="J74" s="37" t="str">
        <f aca="false">IF($C74="","",INDEX(ИНФА!$J$5:$J$19,MATCH($C74,ИНФА!$I$5:$I$19,0)))</f>
        <v/>
      </c>
      <c r="K74" s="37" t="str">
        <f aca="false">IF($C74="","",INDEX(ИНФА!$K$5:$K$19,MATCH($C74,ИНФА!$I$5:$I$19,0)))</f>
        <v/>
      </c>
      <c r="L74" s="38" t="str">
        <f aca="false">IF($C74="","",INDEX(ИНФА!$O$5:$O$19,MATCH($C74,ИНФА!$I$5:$I$19,0)))</f>
        <v/>
      </c>
      <c r="M74" s="38" t="str">
        <f aca="false">IF($C74="","",INDEX(ИНФА!$P$5:$P$19,MATCH($C74,ИНФА!$I$5:$I$19,0)))</f>
        <v/>
      </c>
      <c r="N74" s="44"/>
      <c r="O74" s="48" t="n">
        <f aca="false">IF(OR($C74="",$N74=""),1,IF(AND($J74="Услуги",IFERROR(INDEX($C$5:$C$204,MATCH($N74,$A$5:$A$204,0))=INDEX(ИНФА!$L$5:$L$19,MATCH($C74,ИНФА!$I$5:$I$19,0)),FALSE()),IFERROR(INDEX($W$5:$W$204,MATCH($N74,$A$5:$A$204,0))=1,FALSE()),COUNTIF($N$5:$N74,$N74)&lt;=ИНФА!$F$16),1+ИНФА!$F$15,1))</f>
        <v>1</v>
      </c>
      <c r="P74" s="47" t="str">
        <f aca="false">IF($C74="","",IF($J74&lt;&gt;"Услуги","",IF($N74="","нет поставщика — нужен "&amp;INDEX(ИНФА!$L$5:$L$19,MATCH($C74,ИНФА!$I$5:$I$19,0)),IF($O74&gt;1,"✓ поставка работает (+50%)",IF(IFERROR(INDEX($C$5:$C$204,MATCH($N74,$A$5:$A$204,0))&lt;&gt;INDEX(ИНФА!$L$5:$L$19,MATCH($C74,ИНФА!$I$5:$I$19,0)),TRUE()),"не тот поставщик: нужен "&amp;INDEX(ИНФА!$L$5:$L$19,MATCH($C74,ИНФА!$I$5:$I$19,0)),IF(COUNTIF($N$5:$N74,$N74)&gt;ИНФА!$F$16,"поставщик перегружен","поставщик ещё не работает или продан"))))))</f>
        <v/>
      </c>
      <c r="Q74" s="44"/>
      <c r="R74" s="48" t="str">
        <f aca="false">IF($C74="","",IF($Q74="",1,IFERROR(INDEX(НАУКА!$K$5:$K$44,MATCH($Q74,НАУКА!$A$5:$A$44,0)),1)))</f>
        <v/>
      </c>
      <c r="S74" s="37" t="str">
        <f aca="false">IF($Q74="","",IFERROR(INDEX(НАУКА!$G$5:$G$44,MATCH($Q74,НАУКА!$A$5:$A$44,0)),""))</f>
        <v/>
      </c>
      <c r="T74" s="44"/>
      <c r="U74" s="44"/>
      <c r="V74" s="43"/>
      <c r="W74" s="37" t="n">
        <f aca="false">IF(OR($C74="",$D74=""),0,IF(AND($D74&lt;ИНФА!$F$5,OR($T74="",$T74&gt;=ИНФА!$F$5)),1,0))</f>
        <v>0</v>
      </c>
      <c r="X74" s="46" t="str">
        <f aca="false">IF($C74="","",INDEX(СОБЫТИЯ!$B$5:$K$8,MATCH($K74,СОБЫТИЯ!$A$5:$A$8,0),ИНФА!$F$5))</f>
        <v/>
      </c>
      <c r="Y74" s="42" t="str">
        <f aca="false">IF($C74="","",IF($W74=1,ROUND($L74*$O74*IF(AND($Q74&lt;&gt;"",$S74&lt;&gt;""),IF($S74&lt;ИНФА!$F$5,$R74,1),1)*$X74,0)-$M74+N($AF74)+N($AG74),0))</f>
        <v/>
      </c>
      <c r="Z74" s="38" t="str">
        <f aca="false">IF($C74="","",IF($T74="",INDEX(ИНФА!$M$5:$M$19,MATCH($C74,ИНФА!$I$5:$I$19,0)),0))</f>
        <v/>
      </c>
      <c r="AA74" s="38" t="str">
        <f aca="false">IF(OR($C74="",$T74=""),"",IF($V74&lt;&gt;"",$V74,INDEX(ИНФА!$N$5:$N$19,MATCH($C74,ИНФА!$I$5:$I$19,0))))</f>
        <v/>
      </c>
      <c r="AB74" s="37" t="str">
        <f aca="false">IF($C74="","",IF($T74&lt;&gt;"",IF($U74&lt;&gt;"","продано компании "&amp;$U74&amp;" в цикле "&amp;$T74,"продано Инфраструктуре в цикле "&amp;$T74),IF($D74&gt;=ИНФА!$F$5,"доход со следующего цикла","приносит доход")))</f>
        <v/>
      </c>
      <c r="AC74" s="47" t="str">
        <f aca="false">IF($C74="","",IF($F74="","",IF($E74="","укажите продавца; ",IF(OR($F74&lt;INDEX(ИНФА!$N$5:$N$19,MATCH($C74,ИНФА!$I$5:$I$19,0)),$F74&gt;INDEX(ИНФА!$M$5:$M$19,MATCH($C74,ИНФА!$I$5:$I$19,0))),"цена покупки вне коридора! ","")))&amp;IF($U74="","",IF(OR($V74="",$T74=""),"укажите цикл и цену продажи; ",IF(OR($V74&lt;INDEX(ИНФА!$N$5:$N$19,MATCH($C74,ИНФА!$I$5:$I$19,0)),$V74&gt;INDEX(ИНФА!$M$5:$M$19,MATCH($C74,ИНФА!$I$5:$I$19,0))),"цена продажи вне коридора! ","")))&amp;IF(AND($T74="",COUNTIFS($C$5:$C74,$C74,$T$5:$T74,"")&gt;INDEX(ИНФА!$Q$5:$Q$19,MATCH($C74,ИНФА!$I$5:$I$19,0))),"лотов нет! ","")&amp;IF(AND($E74&lt;&gt;"",$F74=""),"укажите цену сделки; ","")&amp;IF(AND(N($H74)&gt;0,OR($AD74="",$AD74="Профессия"),OR($H74&gt;ИНФА!$F$29,$I74&lt;INDEX(ИНФА!$N$5:$N$19,MATCH($C74,ИНФА!$I$5:$I$19,0))+ИНФА!$F$30)),"скидка больше лимита или цена ниже выкупа + 500! ","")&amp;IF($AE74="","",IF(IFERROR(INDEX($B$5:$B$204,MATCH($AE74,$A$5:$A$204,0))=$B74,TRUE()),"бизнес-пара — только со зданием другой компании; ",""))&amp;IF($Q74="","",IF(IFERROR(INDEX(НАУКА!$B$5:$B$44,MATCH($Q74,НАУКА!$A$5:$A$44,0))&lt;&gt;$B74,FALSE()),"патент другой компании — нужна лицензия или соглашение; ","")))</f>
        <v/>
      </c>
      <c r="AD74" s="44"/>
      <c r="AE74" s="44"/>
      <c r="AF74" s="38" t="str">
        <f aca="false">IF($C74="","",IF(AND($W74=1,OR($C74="Дом",$C74="Кафе")),ИНФА!$F$17*(COUNTIFS($B$5:$B74,$B74,$C$5:$C74,$C74,$W$5:$W74,1)&lt;=COUNTIFS($B$5:$B$204,$B74,$C$5:$C$204,"Парк",$W$5:$W$204,1)),0))</f>
        <v/>
      </c>
      <c r="AG74" s="38" t="str">
        <f aca="false">IF($C74="","",IF($W74=1,IF(OR(AND($AE74&lt;&gt;"",IFERROR(INDEX($W$5:$W$204,MATCH($AE74,$A$5:$A$204,0))=1,FALSE()),IFERROR(INDEX($B$5:$B$204,MATCH($AE74,$A$5:$A$204,0))&lt;&gt;$B74,FALSE())),COUNTIFS($AE$5:$AE$204,$A74,$W$5:$W$204,1,$B$5:$B$204,"&lt;&gt;"&amp;$B74)&gt;0),ИНФА!$F$31,0),0))</f>
        <v/>
      </c>
    </row>
    <row r="75" customFormat="false" ht="15" hidden="false" customHeight="false" outlineLevel="0" collapsed="false">
      <c r="A75" s="15" t="n">
        <v>71</v>
      </c>
      <c r="B75" s="44"/>
      <c r="C75" s="44"/>
      <c r="D75" s="44"/>
      <c r="E75" s="44"/>
      <c r="F75" s="43"/>
      <c r="G75" s="38" t="str">
        <f aca="false">IF($C75="","",IF($F75&lt;&gt;"",$F75,INDEX(ИНФА!$M$5:$M$19,MATCH($C75,ИНФА!$I$5:$I$19,0))))</f>
        <v/>
      </c>
      <c r="H75" s="43"/>
      <c r="I75" s="38" t="str">
        <f aca="false">IF($C75="","",G75-N(H75))</f>
        <v/>
      </c>
      <c r="J75" s="37" t="str">
        <f aca="false">IF($C75="","",INDEX(ИНФА!$J$5:$J$19,MATCH($C75,ИНФА!$I$5:$I$19,0)))</f>
        <v/>
      </c>
      <c r="K75" s="37" t="str">
        <f aca="false">IF($C75="","",INDEX(ИНФА!$K$5:$K$19,MATCH($C75,ИНФА!$I$5:$I$19,0)))</f>
        <v/>
      </c>
      <c r="L75" s="38" t="str">
        <f aca="false">IF($C75="","",INDEX(ИНФА!$O$5:$O$19,MATCH($C75,ИНФА!$I$5:$I$19,0)))</f>
        <v/>
      </c>
      <c r="M75" s="38" t="str">
        <f aca="false">IF($C75="","",INDEX(ИНФА!$P$5:$P$19,MATCH($C75,ИНФА!$I$5:$I$19,0)))</f>
        <v/>
      </c>
      <c r="N75" s="44"/>
      <c r="O75" s="48" t="n">
        <f aca="false">IF(OR($C75="",$N75=""),1,IF(AND($J75="Услуги",IFERROR(INDEX($C$5:$C$204,MATCH($N75,$A$5:$A$204,0))=INDEX(ИНФА!$L$5:$L$19,MATCH($C75,ИНФА!$I$5:$I$19,0)),FALSE()),IFERROR(INDEX($W$5:$W$204,MATCH($N75,$A$5:$A$204,0))=1,FALSE()),COUNTIF($N$5:$N75,$N75)&lt;=ИНФА!$F$16),1+ИНФА!$F$15,1))</f>
        <v>1</v>
      </c>
      <c r="P75" s="47" t="str">
        <f aca="false">IF($C75="","",IF($J75&lt;&gt;"Услуги","",IF($N75="","нет поставщика — нужен "&amp;INDEX(ИНФА!$L$5:$L$19,MATCH($C75,ИНФА!$I$5:$I$19,0)),IF($O75&gt;1,"✓ поставка работает (+50%)",IF(IFERROR(INDEX($C$5:$C$204,MATCH($N75,$A$5:$A$204,0))&lt;&gt;INDEX(ИНФА!$L$5:$L$19,MATCH($C75,ИНФА!$I$5:$I$19,0)),TRUE()),"не тот поставщик: нужен "&amp;INDEX(ИНФА!$L$5:$L$19,MATCH($C75,ИНФА!$I$5:$I$19,0)),IF(COUNTIF($N$5:$N75,$N75)&gt;ИНФА!$F$16,"поставщик перегружен","поставщик ещё не работает или продан"))))))</f>
        <v/>
      </c>
      <c r="Q75" s="44"/>
      <c r="R75" s="48" t="str">
        <f aca="false">IF($C75="","",IF($Q75="",1,IFERROR(INDEX(НАУКА!$K$5:$K$44,MATCH($Q75,НАУКА!$A$5:$A$44,0)),1)))</f>
        <v/>
      </c>
      <c r="S75" s="37" t="str">
        <f aca="false">IF($Q75="","",IFERROR(INDEX(НАУКА!$G$5:$G$44,MATCH($Q75,НАУКА!$A$5:$A$44,0)),""))</f>
        <v/>
      </c>
      <c r="T75" s="44"/>
      <c r="U75" s="44"/>
      <c r="V75" s="43"/>
      <c r="W75" s="37" t="n">
        <f aca="false">IF(OR($C75="",$D75=""),0,IF(AND($D75&lt;ИНФА!$F$5,OR($T75="",$T75&gt;=ИНФА!$F$5)),1,0))</f>
        <v>0</v>
      </c>
      <c r="X75" s="46" t="str">
        <f aca="false">IF($C75="","",INDEX(СОБЫТИЯ!$B$5:$K$8,MATCH($K75,СОБЫТИЯ!$A$5:$A$8,0),ИНФА!$F$5))</f>
        <v/>
      </c>
      <c r="Y75" s="42" t="str">
        <f aca="false">IF($C75="","",IF($W75=1,ROUND($L75*$O75*IF(AND($Q75&lt;&gt;"",$S75&lt;&gt;""),IF($S75&lt;ИНФА!$F$5,$R75,1),1)*$X75,0)-$M75+N($AF75)+N($AG75),0))</f>
        <v/>
      </c>
      <c r="Z75" s="38" t="str">
        <f aca="false">IF($C75="","",IF($T75="",INDEX(ИНФА!$M$5:$M$19,MATCH($C75,ИНФА!$I$5:$I$19,0)),0))</f>
        <v/>
      </c>
      <c r="AA75" s="38" t="str">
        <f aca="false">IF(OR($C75="",$T75=""),"",IF($V75&lt;&gt;"",$V75,INDEX(ИНФА!$N$5:$N$19,MATCH($C75,ИНФА!$I$5:$I$19,0))))</f>
        <v/>
      </c>
      <c r="AB75" s="37" t="str">
        <f aca="false">IF($C75="","",IF($T75&lt;&gt;"",IF($U75&lt;&gt;"","продано компании "&amp;$U75&amp;" в цикле "&amp;$T75,"продано Инфраструктуре в цикле "&amp;$T75),IF($D75&gt;=ИНФА!$F$5,"доход со следующего цикла","приносит доход")))</f>
        <v/>
      </c>
      <c r="AC75" s="47" t="str">
        <f aca="false">IF($C75="","",IF($F75="","",IF($E75="","укажите продавца; ",IF(OR($F75&lt;INDEX(ИНФА!$N$5:$N$19,MATCH($C75,ИНФА!$I$5:$I$19,0)),$F75&gt;INDEX(ИНФА!$M$5:$M$19,MATCH($C75,ИНФА!$I$5:$I$19,0))),"цена покупки вне коридора! ","")))&amp;IF($U75="","",IF(OR($V75="",$T75=""),"укажите цикл и цену продажи; ",IF(OR($V75&lt;INDEX(ИНФА!$N$5:$N$19,MATCH($C75,ИНФА!$I$5:$I$19,0)),$V75&gt;INDEX(ИНФА!$M$5:$M$19,MATCH($C75,ИНФА!$I$5:$I$19,0))),"цена продажи вне коридора! ","")))&amp;IF(AND($T75="",COUNTIFS($C$5:$C75,$C75,$T$5:$T75,"")&gt;INDEX(ИНФА!$Q$5:$Q$19,MATCH($C75,ИНФА!$I$5:$I$19,0))),"лотов нет! ","")&amp;IF(AND($E75&lt;&gt;"",$F75=""),"укажите цену сделки; ","")&amp;IF(AND(N($H75)&gt;0,OR($AD75="",$AD75="Профессия"),OR($H75&gt;ИНФА!$F$29,$I75&lt;INDEX(ИНФА!$N$5:$N$19,MATCH($C75,ИНФА!$I$5:$I$19,0))+ИНФА!$F$30)),"скидка больше лимита или цена ниже выкупа + 500! ","")&amp;IF($AE75="","",IF(IFERROR(INDEX($B$5:$B$204,MATCH($AE75,$A$5:$A$204,0))=$B75,TRUE()),"бизнес-пара — только со зданием другой компании; ",""))&amp;IF($Q75="","",IF(IFERROR(INDEX(НАУКА!$B$5:$B$44,MATCH($Q75,НАУКА!$A$5:$A$44,0))&lt;&gt;$B75,FALSE()),"патент другой компании — нужна лицензия или соглашение; ","")))</f>
        <v/>
      </c>
      <c r="AD75" s="44"/>
      <c r="AE75" s="44"/>
      <c r="AF75" s="38" t="str">
        <f aca="false">IF($C75="","",IF(AND($W75=1,OR($C75="Дом",$C75="Кафе")),ИНФА!$F$17*(COUNTIFS($B$5:$B75,$B75,$C$5:$C75,$C75,$W$5:$W75,1)&lt;=COUNTIFS($B$5:$B$204,$B75,$C$5:$C$204,"Парк",$W$5:$W$204,1)),0))</f>
        <v/>
      </c>
      <c r="AG75" s="38" t="str">
        <f aca="false">IF($C75="","",IF($W75=1,IF(OR(AND($AE75&lt;&gt;"",IFERROR(INDEX($W$5:$W$204,MATCH($AE75,$A$5:$A$204,0))=1,FALSE()),IFERROR(INDEX($B$5:$B$204,MATCH($AE75,$A$5:$A$204,0))&lt;&gt;$B75,FALSE())),COUNTIFS($AE$5:$AE$204,$A75,$W$5:$W$204,1,$B$5:$B$204,"&lt;&gt;"&amp;$B75)&gt;0),ИНФА!$F$31,0),0))</f>
        <v/>
      </c>
    </row>
    <row r="76" customFormat="false" ht="15" hidden="false" customHeight="false" outlineLevel="0" collapsed="false">
      <c r="A76" s="15" t="n">
        <v>72</v>
      </c>
      <c r="B76" s="44"/>
      <c r="C76" s="44"/>
      <c r="D76" s="44"/>
      <c r="E76" s="44"/>
      <c r="F76" s="43"/>
      <c r="G76" s="38" t="str">
        <f aca="false">IF($C76="","",IF($F76&lt;&gt;"",$F76,INDEX(ИНФА!$M$5:$M$19,MATCH($C76,ИНФА!$I$5:$I$19,0))))</f>
        <v/>
      </c>
      <c r="H76" s="43"/>
      <c r="I76" s="38" t="str">
        <f aca="false">IF($C76="","",G76-N(H76))</f>
        <v/>
      </c>
      <c r="J76" s="37" t="str">
        <f aca="false">IF($C76="","",INDEX(ИНФА!$J$5:$J$19,MATCH($C76,ИНФА!$I$5:$I$19,0)))</f>
        <v/>
      </c>
      <c r="K76" s="37" t="str">
        <f aca="false">IF($C76="","",INDEX(ИНФА!$K$5:$K$19,MATCH($C76,ИНФА!$I$5:$I$19,0)))</f>
        <v/>
      </c>
      <c r="L76" s="38" t="str">
        <f aca="false">IF($C76="","",INDEX(ИНФА!$O$5:$O$19,MATCH($C76,ИНФА!$I$5:$I$19,0)))</f>
        <v/>
      </c>
      <c r="M76" s="38" t="str">
        <f aca="false">IF($C76="","",INDEX(ИНФА!$P$5:$P$19,MATCH($C76,ИНФА!$I$5:$I$19,0)))</f>
        <v/>
      </c>
      <c r="N76" s="44"/>
      <c r="O76" s="48" t="n">
        <f aca="false">IF(OR($C76="",$N76=""),1,IF(AND($J76="Услуги",IFERROR(INDEX($C$5:$C$204,MATCH($N76,$A$5:$A$204,0))=INDEX(ИНФА!$L$5:$L$19,MATCH($C76,ИНФА!$I$5:$I$19,0)),FALSE()),IFERROR(INDEX($W$5:$W$204,MATCH($N76,$A$5:$A$204,0))=1,FALSE()),COUNTIF($N$5:$N76,$N76)&lt;=ИНФА!$F$16),1+ИНФА!$F$15,1))</f>
        <v>1</v>
      </c>
      <c r="P76" s="47" t="str">
        <f aca="false">IF($C76="","",IF($J76&lt;&gt;"Услуги","",IF($N76="","нет поставщика — нужен "&amp;INDEX(ИНФА!$L$5:$L$19,MATCH($C76,ИНФА!$I$5:$I$19,0)),IF($O76&gt;1,"✓ поставка работает (+50%)",IF(IFERROR(INDEX($C$5:$C$204,MATCH($N76,$A$5:$A$204,0))&lt;&gt;INDEX(ИНФА!$L$5:$L$19,MATCH($C76,ИНФА!$I$5:$I$19,0)),TRUE()),"не тот поставщик: нужен "&amp;INDEX(ИНФА!$L$5:$L$19,MATCH($C76,ИНФА!$I$5:$I$19,0)),IF(COUNTIF($N$5:$N76,$N76)&gt;ИНФА!$F$16,"поставщик перегружен","поставщик ещё не работает или продан"))))))</f>
        <v/>
      </c>
      <c r="Q76" s="44"/>
      <c r="R76" s="48" t="str">
        <f aca="false">IF($C76="","",IF($Q76="",1,IFERROR(INDEX(НАУКА!$K$5:$K$44,MATCH($Q76,НАУКА!$A$5:$A$44,0)),1)))</f>
        <v/>
      </c>
      <c r="S76" s="37" t="str">
        <f aca="false">IF($Q76="","",IFERROR(INDEX(НАУКА!$G$5:$G$44,MATCH($Q76,НАУКА!$A$5:$A$44,0)),""))</f>
        <v/>
      </c>
      <c r="T76" s="44"/>
      <c r="U76" s="44"/>
      <c r="V76" s="43"/>
      <c r="W76" s="37" t="n">
        <f aca="false">IF(OR($C76="",$D76=""),0,IF(AND($D76&lt;ИНФА!$F$5,OR($T76="",$T76&gt;=ИНФА!$F$5)),1,0))</f>
        <v>0</v>
      </c>
      <c r="X76" s="46" t="str">
        <f aca="false">IF($C76="","",INDEX(СОБЫТИЯ!$B$5:$K$8,MATCH($K76,СОБЫТИЯ!$A$5:$A$8,0),ИНФА!$F$5))</f>
        <v/>
      </c>
      <c r="Y76" s="42" t="str">
        <f aca="false">IF($C76="","",IF($W76=1,ROUND($L76*$O76*IF(AND($Q76&lt;&gt;"",$S76&lt;&gt;""),IF($S76&lt;ИНФА!$F$5,$R76,1),1)*$X76,0)-$M76+N($AF76)+N($AG76),0))</f>
        <v/>
      </c>
      <c r="Z76" s="38" t="str">
        <f aca="false">IF($C76="","",IF($T76="",INDEX(ИНФА!$M$5:$M$19,MATCH($C76,ИНФА!$I$5:$I$19,0)),0))</f>
        <v/>
      </c>
      <c r="AA76" s="38" t="str">
        <f aca="false">IF(OR($C76="",$T76=""),"",IF($V76&lt;&gt;"",$V76,INDEX(ИНФА!$N$5:$N$19,MATCH($C76,ИНФА!$I$5:$I$19,0))))</f>
        <v/>
      </c>
      <c r="AB76" s="37" t="str">
        <f aca="false">IF($C76="","",IF($T76&lt;&gt;"",IF($U76&lt;&gt;"","продано компании "&amp;$U76&amp;" в цикле "&amp;$T76,"продано Инфраструктуре в цикле "&amp;$T76),IF($D76&gt;=ИНФА!$F$5,"доход со следующего цикла","приносит доход")))</f>
        <v/>
      </c>
      <c r="AC76" s="47" t="str">
        <f aca="false">IF($C76="","",IF($F76="","",IF($E76="","укажите продавца; ",IF(OR($F76&lt;INDEX(ИНФА!$N$5:$N$19,MATCH($C76,ИНФА!$I$5:$I$19,0)),$F76&gt;INDEX(ИНФА!$M$5:$M$19,MATCH($C76,ИНФА!$I$5:$I$19,0))),"цена покупки вне коридора! ","")))&amp;IF($U76="","",IF(OR($V76="",$T76=""),"укажите цикл и цену продажи; ",IF(OR($V76&lt;INDEX(ИНФА!$N$5:$N$19,MATCH($C76,ИНФА!$I$5:$I$19,0)),$V76&gt;INDEX(ИНФА!$M$5:$M$19,MATCH($C76,ИНФА!$I$5:$I$19,0))),"цена продажи вне коридора! ","")))&amp;IF(AND($T76="",COUNTIFS($C$5:$C76,$C76,$T$5:$T76,"")&gt;INDEX(ИНФА!$Q$5:$Q$19,MATCH($C76,ИНФА!$I$5:$I$19,0))),"лотов нет! ","")&amp;IF(AND($E76&lt;&gt;"",$F76=""),"укажите цену сделки; ","")&amp;IF(AND(N($H76)&gt;0,OR($AD76="",$AD76="Профессия"),OR($H76&gt;ИНФА!$F$29,$I76&lt;INDEX(ИНФА!$N$5:$N$19,MATCH($C76,ИНФА!$I$5:$I$19,0))+ИНФА!$F$30)),"скидка больше лимита или цена ниже выкупа + 500! ","")&amp;IF($AE76="","",IF(IFERROR(INDEX($B$5:$B$204,MATCH($AE76,$A$5:$A$204,0))=$B76,TRUE()),"бизнес-пара — только со зданием другой компании; ",""))&amp;IF($Q76="","",IF(IFERROR(INDEX(НАУКА!$B$5:$B$44,MATCH($Q76,НАУКА!$A$5:$A$44,0))&lt;&gt;$B76,FALSE()),"патент другой компании — нужна лицензия или соглашение; ","")))</f>
        <v/>
      </c>
      <c r="AD76" s="44"/>
      <c r="AE76" s="44"/>
      <c r="AF76" s="38" t="str">
        <f aca="false">IF($C76="","",IF(AND($W76=1,OR($C76="Дом",$C76="Кафе")),ИНФА!$F$17*(COUNTIFS($B$5:$B76,$B76,$C$5:$C76,$C76,$W$5:$W76,1)&lt;=COUNTIFS($B$5:$B$204,$B76,$C$5:$C$204,"Парк",$W$5:$W$204,1)),0))</f>
        <v/>
      </c>
      <c r="AG76" s="38" t="str">
        <f aca="false">IF($C76="","",IF($W76=1,IF(OR(AND($AE76&lt;&gt;"",IFERROR(INDEX($W$5:$W$204,MATCH($AE76,$A$5:$A$204,0))=1,FALSE()),IFERROR(INDEX($B$5:$B$204,MATCH($AE76,$A$5:$A$204,0))&lt;&gt;$B76,FALSE())),COUNTIFS($AE$5:$AE$204,$A76,$W$5:$W$204,1,$B$5:$B$204,"&lt;&gt;"&amp;$B76)&gt;0),ИНФА!$F$31,0),0))</f>
        <v/>
      </c>
    </row>
    <row r="77" customFormat="false" ht="15" hidden="false" customHeight="false" outlineLevel="0" collapsed="false">
      <c r="A77" s="15" t="n">
        <v>73</v>
      </c>
      <c r="B77" s="44"/>
      <c r="C77" s="44"/>
      <c r="D77" s="44"/>
      <c r="E77" s="44"/>
      <c r="F77" s="43"/>
      <c r="G77" s="38" t="str">
        <f aca="false">IF($C77="","",IF($F77&lt;&gt;"",$F77,INDEX(ИНФА!$M$5:$M$19,MATCH($C77,ИНФА!$I$5:$I$19,0))))</f>
        <v/>
      </c>
      <c r="H77" s="43"/>
      <c r="I77" s="38" t="str">
        <f aca="false">IF($C77="","",G77-N(H77))</f>
        <v/>
      </c>
      <c r="J77" s="37" t="str">
        <f aca="false">IF($C77="","",INDEX(ИНФА!$J$5:$J$19,MATCH($C77,ИНФА!$I$5:$I$19,0)))</f>
        <v/>
      </c>
      <c r="K77" s="37" t="str">
        <f aca="false">IF($C77="","",INDEX(ИНФА!$K$5:$K$19,MATCH($C77,ИНФА!$I$5:$I$19,0)))</f>
        <v/>
      </c>
      <c r="L77" s="38" t="str">
        <f aca="false">IF($C77="","",INDEX(ИНФА!$O$5:$O$19,MATCH($C77,ИНФА!$I$5:$I$19,0)))</f>
        <v/>
      </c>
      <c r="M77" s="38" t="str">
        <f aca="false">IF($C77="","",INDEX(ИНФА!$P$5:$P$19,MATCH($C77,ИНФА!$I$5:$I$19,0)))</f>
        <v/>
      </c>
      <c r="N77" s="44"/>
      <c r="O77" s="48" t="n">
        <f aca="false">IF(OR($C77="",$N77=""),1,IF(AND($J77="Услуги",IFERROR(INDEX($C$5:$C$204,MATCH($N77,$A$5:$A$204,0))=INDEX(ИНФА!$L$5:$L$19,MATCH($C77,ИНФА!$I$5:$I$19,0)),FALSE()),IFERROR(INDEX($W$5:$W$204,MATCH($N77,$A$5:$A$204,0))=1,FALSE()),COUNTIF($N$5:$N77,$N77)&lt;=ИНФА!$F$16),1+ИНФА!$F$15,1))</f>
        <v>1</v>
      </c>
      <c r="P77" s="47" t="str">
        <f aca="false">IF($C77="","",IF($J77&lt;&gt;"Услуги","",IF($N77="","нет поставщика — нужен "&amp;INDEX(ИНФА!$L$5:$L$19,MATCH($C77,ИНФА!$I$5:$I$19,0)),IF($O77&gt;1,"✓ поставка работает (+50%)",IF(IFERROR(INDEX($C$5:$C$204,MATCH($N77,$A$5:$A$204,0))&lt;&gt;INDEX(ИНФА!$L$5:$L$19,MATCH($C77,ИНФА!$I$5:$I$19,0)),TRUE()),"не тот поставщик: нужен "&amp;INDEX(ИНФА!$L$5:$L$19,MATCH($C77,ИНФА!$I$5:$I$19,0)),IF(COUNTIF($N$5:$N77,$N77)&gt;ИНФА!$F$16,"поставщик перегружен","поставщик ещё не работает или продан"))))))</f>
        <v/>
      </c>
      <c r="Q77" s="44"/>
      <c r="R77" s="48" t="str">
        <f aca="false">IF($C77="","",IF($Q77="",1,IFERROR(INDEX(НАУКА!$K$5:$K$44,MATCH($Q77,НАУКА!$A$5:$A$44,0)),1)))</f>
        <v/>
      </c>
      <c r="S77" s="37" t="str">
        <f aca="false">IF($Q77="","",IFERROR(INDEX(НАУКА!$G$5:$G$44,MATCH($Q77,НАУКА!$A$5:$A$44,0)),""))</f>
        <v/>
      </c>
      <c r="T77" s="44"/>
      <c r="U77" s="44"/>
      <c r="V77" s="43"/>
      <c r="W77" s="37" t="n">
        <f aca="false">IF(OR($C77="",$D77=""),0,IF(AND($D77&lt;ИНФА!$F$5,OR($T77="",$T77&gt;=ИНФА!$F$5)),1,0))</f>
        <v>0</v>
      </c>
      <c r="X77" s="46" t="str">
        <f aca="false">IF($C77="","",INDEX(СОБЫТИЯ!$B$5:$K$8,MATCH($K77,СОБЫТИЯ!$A$5:$A$8,0),ИНФА!$F$5))</f>
        <v/>
      </c>
      <c r="Y77" s="42" t="str">
        <f aca="false">IF($C77="","",IF($W77=1,ROUND($L77*$O77*IF(AND($Q77&lt;&gt;"",$S77&lt;&gt;""),IF($S77&lt;ИНФА!$F$5,$R77,1),1)*$X77,0)-$M77+N($AF77)+N($AG77),0))</f>
        <v/>
      </c>
      <c r="Z77" s="38" t="str">
        <f aca="false">IF($C77="","",IF($T77="",INDEX(ИНФА!$M$5:$M$19,MATCH($C77,ИНФА!$I$5:$I$19,0)),0))</f>
        <v/>
      </c>
      <c r="AA77" s="38" t="str">
        <f aca="false">IF(OR($C77="",$T77=""),"",IF($V77&lt;&gt;"",$V77,INDEX(ИНФА!$N$5:$N$19,MATCH($C77,ИНФА!$I$5:$I$19,0))))</f>
        <v/>
      </c>
      <c r="AB77" s="37" t="str">
        <f aca="false">IF($C77="","",IF($T77&lt;&gt;"",IF($U77&lt;&gt;"","продано компании "&amp;$U77&amp;" в цикле "&amp;$T77,"продано Инфраструктуре в цикле "&amp;$T77),IF($D77&gt;=ИНФА!$F$5,"доход со следующего цикла","приносит доход")))</f>
        <v/>
      </c>
      <c r="AC77" s="47" t="str">
        <f aca="false">IF($C77="","",IF($F77="","",IF($E77="","укажите продавца; ",IF(OR($F77&lt;INDEX(ИНФА!$N$5:$N$19,MATCH($C77,ИНФА!$I$5:$I$19,0)),$F77&gt;INDEX(ИНФА!$M$5:$M$19,MATCH($C77,ИНФА!$I$5:$I$19,0))),"цена покупки вне коридора! ","")))&amp;IF($U77="","",IF(OR($V77="",$T77=""),"укажите цикл и цену продажи; ",IF(OR($V77&lt;INDEX(ИНФА!$N$5:$N$19,MATCH($C77,ИНФА!$I$5:$I$19,0)),$V77&gt;INDEX(ИНФА!$M$5:$M$19,MATCH($C77,ИНФА!$I$5:$I$19,0))),"цена продажи вне коридора! ","")))&amp;IF(AND($T77="",COUNTIFS($C$5:$C77,$C77,$T$5:$T77,"")&gt;INDEX(ИНФА!$Q$5:$Q$19,MATCH($C77,ИНФА!$I$5:$I$19,0))),"лотов нет! ","")&amp;IF(AND($E77&lt;&gt;"",$F77=""),"укажите цену сделки; ","")&amp;IF(AND(N($H77)&gt;0,OR($AD77="",$AD77="Профессия"),OR($H77&gt;ИНФА!$F$29,$I77&lt;INDEX(ИНФА!$N$5:$N$19,MATCH($C77,ИНФА!$I$5:$I$19,0))+ИНФА!$F$30)),"скидка больше лимита или цена ниже выкупа + 500! ","")&amp;IF($AE77="","",IF(IFERROR(INDEX($B$5:$B$204,MATCH($AE77,$A$5:$A$204,0))=$B77,TRUE()),"бизнес-пара — только со зданием другой компании; ",""))&amp;IF($Q77="","",IF(IFERROR(INDEX(НАУКА!$B$5:$B$44,MATCH($Q77,НАУКА!$A$5:$A$44,0))&lt;&gt;$B77,FALSE()),"патент другой компании — нужна лицензия или соглашение; ","")))</f>
        <v/>
      </c>
      <c r="AD77" s="44"/>
      <c r="AE77" s="44"/>
      <c r="AF77" s="38" t="str">
        <f aca="false">IF($C77="","",IF(AND($W77=1,OR($C77="Дом",$C77="Кафе")),ИНФА!$F$17*(COUNTIFS($B$5:$B77,$B77,$C$5:$C77,$C77,$W$5:$W77,1)&lt;=COUNTIFS($B$5:$B$204,$B77,$C$5:$C$204,"Парк",$W$5:$W$204,1)),0))</f>
        <v/>
      </c>
      <c r="AG77" s="38" t="str">
        <f aca="false">IF($C77="","",IF($W77=1,IF(OR(AND($AE77&lt;&gt;"",IFERROR(INDEX($W$5:$W$204,MATCH($AE77,$A$5:$A$204,0))=1,FALSE()),IFERROR(INDEX($B$5:$B$204,MATCH($AE77,$A$5:$A$204,0))&lt;&gt;$B77,FALSE())),COUNTIFS($AE$5:$AE$204,$A77,$W$5:$W$204,1,$B$5:$B$204,"&lt;&gt;"&amp;$B77)&gt;0),ИНФА!$F$31,0),0))</f>
        <v/>
      </c>
    </row>
    <row r="78" customFormat="false" ht="15" hidden="false" customHeight="false" outlineLevel="0" collapsed="false">
      <c r="A78" s="15" t="n">
        <v>74</v>
      </c>
      <c r="B78" s="44"/>
      <c r="C78" s="44"/>
      <c r="D78" s="44"/>
      <c r="E78" s="44"/>
      <c r="F78" s="43"/>
      <c r="G78" s="38" t="str">
        <f aca="false">IF($C78="","",IF($F78&lt;&gt;"",$F78,INDEX(ИНФА!$M$5:$M$19,MATCH($C78,ИНФА!$I$5:$I$19,0))))</f>
        <v/>
      </c>
      <c r="H78" s="43"/>
      <c r="I78" s="38" t="str">
        <f aca="false">IF($C78="","",G78-N(H78))</f>
        <v/>
      </c>
      <c r="J78" s="37" t="str">
        <f aca="false">IF($C78="","",INDEX(ИНФА!$J$5:$J$19,MATCH($C78,ИНФА!$I$5:$I$19,0)))</f>
        <v/>
      </c>
      <c r="K78" s="37" t="str">
        <f aca="false">IF($C78="","",INDEX(ИНФА!$K$5:$K$19,MATCH($C78,ИНФА!$I$5:$I$19,0)))</f>
        <v/>
      </c>
      <c r="L78" s="38" t="str">
        <f aca="false">IF($C78="","",INDEX(ИНФА!$O$5:$O$19,MATCH($C78,ИНФА!$I$5:$I$19,0)))</f>
        <v/>
      </c>
      <c r="M78" s="38" t="str">
        <f aca="false">IF($C78="","",INDEX(ИНФА!$P$5:$P$19,MATCH($C78,ИНФА!$I$5:$I$19,0)))</f>
        <v/>
      </c>
      <c r="N78" s="44"/>
      <c r="O78" s="48" t="n">
        <f aca="false">IF(OR($C78="",$N78=""),1,IF(AND($J78="Услуги",IFERROR(INDEX($C$5:$C$204,MATCH($N78,$A$5:$A$204,0))=INDEX(ИНФА!$L$5:$L$19,MATCH($C78,ИНФА!$I$5:$I$19,0)),FALSE()),IFERROR(INDEX($W$5:$W$204,MATCH($N78,$A$5:$A$204,0))=1,FALSE()),COUNTIF($N$5:$N78,$N78)&lt;=ИНФА!$F$16),1+ИНФА!$F$15,1))</f>
        <v>1</v>
      </c>
      <c r="P78" s="47" t="str">
        <f aca="false">IF($C78="","",IF($J78&lt;&gt;"Услуги","",IF($N78="","нет поставщика — нужен "&amp;INDEX(ИНФА!$L$5:$L$19,MATCH($C78,ИНФА!$I$5:$I$19,0)),IF($O78&gt;1,"✓ поставка работает (+50%)",IF(IFERROR(INDEX($C$5:$C$204,MATCH($N78,$A$5:$A$204,0))&lt;&gt;INDEX(ИНФА!$L$5:$L$19,MATCH($C78,ИНФА!$I$5:$I$19,0)),TRUE()),"не тот поставщик: нужен "&amp;INDEX(ИНФА!$L$5:$L$19,MATCH($C78,ИНФА!$I$5:$I$19,0)),IF(COUNTIF($N$5:$N78,$N78)&gt;ИНФА!$F$16,"поставщик перегружен","поставщик ещё не работает или продан"))))))</f>
        <v/>
      </c>
      <c r="Q78" s="44"/>
      <c r="R78" s="48" t="str">
        <f aca="false">IF($C78="","",IF($Q78="",1,IFERROR(INDEX(НАУКА!$K$5:$K$44,MATCH($Q78,НАУКА!$A$5:$A$44,0)),1)))</f>
        <v/>
      </c>
      <c r="S78" s="37" t="str">
        <f aca="false">IF($Q78="","",IFERROR(INDEX(НАУКА!$G$5:$G$44,MATCH($Q78,НАУКА!$A$5:$A$44,0)),""))</f>
        <v/>
      </c>
      <c r="T78" s="44"/>
      <c r="U78" s="44"/>
      <c r="V78" s="43"/>
      <c r="W78" s="37" t="n">
        <f aca="false">IF(OR($C78="",$D78=""),0,IF(AND($D78&lt;ИНФА!$F$5,OR($T78="",$T78&gt;=ИНФА!$F$5)),1,0))</f>
        <v>0</v>
      </c>
      <c r="X78" s="46" t="str">
        <f aca="false">IF($C78="","",INDEX(СОБЫТИЯ!$B$5:$K$8,MATCH($K78,СОБЫТИЯ!$A$5:$A$8,0),ИНФА!$F$5))</f>
        <v/>
      </c>
      <c r="Y78" s="42" t="str">
        <f aca="false">IF($C78="","",IF($W78=1,ROUND($L78*$O78*IF(AND($Q78&lt;&gt;"",$S78&lt;&gt;""),IF($S78&lt;ИНФА!$F$5,$R78,1),1)*$X78,0)-$M78+N($AF78)+N($AG78),0))</f>
        <v/>
      </c>
      <c r="Z78" s="38" t="str">
        <f aca="false">IF($C78="","",IF($T78="",INDEX(ИНФА!$M$5:$M$19,MATCH($C78,ИНФА!$I$5:$I$19,0)),0))</f>
        <v/>
      </c>
      <c r="AA78" s="38" t="str">
        <f aca="false">IF(OR($C78="",$T78=""),"",IF($V78&lt;&gt;"",$V78,INDEX(ИНФА!$N$5:$N$19,MATCH($C78,ИНФА!$I$5:$I$19,0))))</f>
        <v/>
      </c>
      <c r="AB78" s="37" t="str">
        <f aca="false">IF($C78="","",IF($T78&lt;&gt;"",IF($U78&lt;&gt;"","продано компании "&amp;$U78&amp;" в цикле "&amp;$T78,"продано Инфраструктуре в цикле "&amp;$T78),IF($D78&gt;=ИНФА!$F$5,"доход со следующего цикла","приносит доход")))</f>
        <v/>
      </c>
      <c r="AC78" s="47" t="str">
        <f aca="false">IF($C78="","",IF($F78="","",IF($E78="","укажите продавца; ",IF(OR($F78&lt;INDEX(ИНФА!$N$5:$N$19,MATCH($C78,ИНФА!$I$5:$I$19,0)),$F78&gt;INDEX(ИНФА!$M$5:$M$19,MATCH($C78,ИНФА!$I$5:$I$19,0))),"цена покупки вне коридора! ","")))&amp;IF($U78="","",IF(OR($V78="",$T78=""),"укажите цикл и цену продажи; ",IF(OR($V78&lt;INDEX(ИНФА!$N$5:$N$19,MATCH($C78,ИНФА!$I$5:$I$19,0)),$V78&gt;INDEX(ИНФА!$M$5:$M$19,MATCH($C78,ИНФА!$I$5:$I$19,0))),"цена продажи вне коридора! ","")))&amp;IF(AND($T78="",COUNTIFS($C$5:$C78,$C78,$T$5:$T78,"")&gt;INDEX(ИНФА!$Q$5:$Q$19,MATCH($C78,ИНФА!$I$5:$I$19,0))),"лотов нет! ","")&amp;IF(AND($E78&lt;&gt;"",$F78=""),"укажите цену сделки; ","")&amp;IF(AND(N($H78)&gt;0,OR($AD78="",$AD78="Профессия"),OR($H78&gt;ИНФА!$F$29,$I78&lt;INDEX(ИНФА!$N$5:$N$19,MATCH($C78,ИНФА!$I$5:$I$19,0))+ИНФА!$F$30)),"скидка больше лимита или цена ниже выкупа + 500! ","")&amp;IF($AE78="","",IF(IFERROR(INDEX($B$5:$B$204,MATCH($AE78,$A$5:$A$204,0))=$B78,TRUE()),"бизнес-пара — только со зданием другой компании; ",""))&amp;IF($Q78="","",IF(IFERROR(INDEX(НАУКА!$B$5:$B$44,MATCH($Q78,НАУКА!$A$5:$A$44,0))&lt;&gt;$B78,FALSE()),"патент другой компании — нужна лицензия или соглашение; ","")))</f>
        <v/>
      </c>
      <c r="AD78" s="44"/>
      <c r="AE78" s="44"/>
      <c r="AF78" s="38" t="str">
        <f aca="false">IF($C78="","",IF(AND($W78=1,OR($C78="Дом",$C78="Кафе")),ИНФА!$F$17*(COUNTIFS($B$5:$B78,$B78,$C$5:$C78,$C78,$W$5:$W78,1)&lt;=COUNTIFS($B$5:$B$204,$B78,$C$5:$C$204,"Парк",$W$5:$W$204,1)),0))</f>
        <v/>
      </c>
      <c r="AG78" s="38" t="str">
        <f aca="false">IF($C78="","",IF($W78=1,IF(OR(AND($AE78&lt;&gt;"",IFERROR(INDEX($W$5:$W$204,MATCH($AE78,$A$5:$A$204,0))=1,FALSE()),IFERROR(INDEX($B$5:$B$204,MATCH($AE78,$A$5:$A$204,0))&lt;&gt;$B78,FALSE())),COUNTIFS($AE$5:$AE$204,$A78,$W$5:$W$204,1,$B$5:$B$204,"&lt;&gt;"&amp;$B78)&gt;0),ИНФА!$F$31,0),0))</f>
        <v/>
      </c>
    </row>
    <row r="79" customFormat="false" ht="15" hidden="false" customHeight="false" outlineLevel="0" collapsed="false">
      <c r="A79" s="15" t="n">
        <v>75</v>
      </c>
      <c r="B79" s="44"/>
      <c r="C79" s="44"/>
      <c r="D79" s="44"/>
      <c r="E79" s="44"/>
      <c r="F79" s="43"/>
      <c r="G79" s="38" t="str">
        <f aca="false">IF($C79="","",IF($F79&lt;&gt;"",$F79,INDEX(ИНФА!$M$5:$M$19,MATCH($C79,ИНФА!$I$5:$I$19,0))))</f>
        <v/>
      </c>
      <c r="H79" s="43"/>
      <c r="I79" s="38" t="str">
        <f aca="false">IF($C79="","",G79-N(H79))</f>
        <v/>
      </c>
      <c r="J79" s="37" t="str">
        <f aca="false">IF($C79="","",INDEX(ИНФА!$J$5:$J$19,MATCH($C79,ИНФА!$I$5:$I$19,0)))</f>
        <v/>
      </c>
      <c r="K79" s="37" t="str">
        <f aca="false">IF($C79="","",INDEX(ИНФА!$K$5:$K$19,MATCH($C79,ИНФА!$I$5:$I$19,0)))</f>
        <v/>
      </c>
      <c r="L79" s="38" t="str">
        <f aca="false">IF($C79="","",INDEX(ИНФА!$O$5:$O$19,MATCH($C79,ИНФА!$I$5:$I$19,0)))</f>
        <v/>
      </c>
      <c r="M79" s="38" t="str">
        <f aca="false">IF($C79="","",INDEX(ИНФА!$P$5:$P$19,MATCH($C79,ИНФА!$I$5:$I$19,0)))</f>
        <v/>
      </c>
      <c r="N79" s="44"/>
      <c r="O79" s="48" t="n">
        <f aca="false">IF(OR($C79="",$N79=""),1,IF(AND($J79="Услуги",IFERROR(INDEX($C$5:$C$204,MATCH($N79,$A$5:$A$204,0))=INDEX(ИНФА!$L$5:$L$19,MATCH($C79,ИНФА!$I$5:$I$19,0)),FALSE()),IFERROR(INDEX($W$5:$W$204,MATCH($N79,$A$5:$A$204,0))=1,FALSE()),COUNTIF($N$5:$N79,$N79)&lt;=ИНФА!$F$16),1+ИНФА!$F$15,1))</f>
        <v>1</v>
      </c>
      <c r="P79" s="47" t="str">
        <f aca="false">IF($C79="","",IF($J79&lt;&gt;"Услуги","",IF($N79="","нет поставщика — нужен "&amp;INDEX(ИНФА!$L$5:$L$19,MATCH($C79,ИНФА!$I$5:$I$19,0)),IF($O79&gt;1,"✓ поставка работает (+50%)",IF(IFERROR(INDEX($C$5:$C$204,MATCH($N79,$A$5:$A$204,0))&lt;&gt;INDEX(ИНФА!$L$5:$L$19,MATCH($C79,ИНФА!$I$5:$I$19,0)),TRUE()),"не тот поставщик: нужен "&amp;INDEX(ИНФА!$L$5:$L$19,MATCH($C79,ИНФА!$I$5:$I$19,0)),IF(COUNTIF($N$5:$N79,$N79)&gt;ИНФА!$F$16,"поставщик перегружен","поставщик ещё не работает или продан"))))))</f>
        <v/>
      </c>
      <c r="Q79" s="44"/>
      <c r="R79" s="48" t="str">
        <f aca="false">IF($C79="","",IF($Q79="",1,IFERROR(INDEX(НАУКА!$K$5:$K$44,MATCH($Q79,НАУКА!$A$5:$A$44,0)),1)))</f>
        <v/>
      </c>
      <c r="S79" s="37" t="str">
        <f aca="false">IF($Q79="","",IFERROR(INDEX(НАУКА!$G$5:$G$44,MATCH($Q79,НАУКА!$A$5:$A$44,0)),""))</f>
        <v/>
      </c>
      <c r="T79" s="44"/>
      <c r="U79" s="44"/>
      <c r="V79" s="43"/>
      <c r="W79" s="37" t="n">
        <f aca="false">IF(OR($C79="",$D79=""),0,IF(AND($D79&lt;ИНФА!$F$5,OR($T79="",$T79&gt;=ИНФА!$F$5)),1,0))</f>
        <v>0</v>
      </c>
      <c r="X79" s="46" t="str">
        <f aca="false">IF($C79="","",INDEX(СОБЫТИЯ!$B$5:$K$8,MATCH($K79,СОБЫТИЯ!$A$5:$A$8,0),ИНФА!$F$5))</f>
        <v/>
      </c>
      <c r="Y79" s="42" t="str">
        <f aca="false">IF($C79="","",IF($W79=1,ROUND($L79*$O79*IF(AND($Q79&lt;&gt;"",$S79&lt;&gt;""),IF($S79&lt;ИНФА!$F$5,$R79,1),1)*$X79,0)-$M79+N($AF79)+N($AG79),0))</f>
        <v/>
      </c>
      <c r="Z79" s="38" t="str">
        <f aca="false">IF($C79="","",IF($T79="",INDEX(ИНФА!$M$5:$M$19,MATCH($C79,ИНФА!$I$5:$I$19,0)),0))</f>
        <v/>
      </c>
      <c r="AA79" s="38" t="str">
        <f aca="false">IF(OR($C79="",$T79=""),"",IF($V79&lt;&gt;"",$V79,INDEX(ИНФА!$N$5:$N$19,MATCH($C79,ИНФА!$I$5:$I$19,0))))</f>
        <v/>
      </c>
      <c r="AB79" s="37" t="str">
        <f aca="false">IF($C79="","",IF($T79&lt;&gt;"",IF($U79&lt;&gt;"","продано компании "&amp;$U79&amp;" в цикле "&amp;$T79,"продано Инфраструктуре в цикле "&amp;$T79),IF($D79&gt;=ИНФА!$F$5,"доход со следующего цикла","приносит доход")))</f>
        <v/>
      </c>
      <c r="AC79" s="47" t="str">
        <f aca="false">IF($C79="","",IF($F79="","",IF($E79="","укажите продавца; ",IF(OR($F79&lt;INDEX(ИНФА!$N$5:$N$19,MATCH($C79,ИНФА!$I$5:$I$19,0)),$F79&gt;INDEX(ИНФА!$M$5:$M$19,MATCH($C79,ИНФА!$I$5:$I$19,0))),"цена покупки вне коридора! ","")))&amp;IF($U79="","",IF(OR($V79="",$T79=""),"укажите цикл и цену продажи; ",IF(OR($V79&lt;INDEX(ИНФА!$N$5:$N$19,MATCH($C79,ИНФА!$I$5:$I$19,0)),$V79&gt;INDEX(ИНФА!$M$5:$M$19,MATCH($C79,ИНФА!$I$5:$I$19,0))),"цена продажи вне коридора! ","")))&amp;IF(AND($T79="",COUNTIFS($C$5:$C79,$C79,$T$5:$T79,"")&gt;INDEX(ИНФА!$Q$5:$Q$19,MATCH($C79,ИНФА!$I$5:$I$19,0))),"лотов нет! ","")&amp;IF(AND($E79&lt;&gt;"",$F79=""),"укажите цену сделки; ","")&amp;IF(AND(N($H79)&gt;0,OR($AD79="",$AD79="Профессия"),OR($H79&gt;ИНФА!$F$29,$I79&lt;INDEX(ИНФА!$N$5:$N$19,MATCH($C79,ИНФА!$I$5:$I$19,0))+ИНФА!$F$30)),"скидка больше лимита или цена ниже выкупа + 500! ","")&amp;IF($AE79="","",IF(IFERROR(INDEX($B$5:$B$204,MATCH($AE79,$A$5:$A$204,0))=$B79,TRUE()),"бизнес-пара — только со зданием другой компании; ",""))&amp;IF($Q79="","",IF(IFERROR(INDEX(НАУКА!$B$5:$B$44,MATCH($Q79,НАУКА!$A$5:$A$44,0))&lt;&gt;$B79,FALSE()),"патент другой компании — нужна лицензия или соглашение; ","")))</f>
        <v/>
      </c>
      <c r="AD79" s="44"/>
      <c r="AE79" s="44"/>
      <c r="AF79" s="38" t="str">
        <f aca="false">IF($C79="","",IF(AND($W79=1,OR($C79="Дом",$C79="Кафе")),ИНФА!$F$17*(COUNTIFS($B$5:$B79,$B79,$C$5:$C79,$C79,$W$5:$W79,1)&lt;=COUNTIFS($B$5:$B$204,$B79,$C$5:$C$204,"Парк",$W$5:$W$204,1)),0))</f>
        <v/>
      </c>
      <c r="AG79" s="38" t="str">
        <f aca="false">IF($C79="","",IF($W79=1,IF(OR(AND($AE79&lt;&gt;"",IFERROR(INDEX($W$5:$W$204,MATCH($AE79,$A$5:$A$204,0))=1,FALSE()),IFERROR(INDEX($B$5:$B$204,MATCH($AE79,$A$5:$A$204,0))&lt;&gt;$B79,FALSE())),COUNTIFS($AE$5:$AE$204,$A79,$W$5:$W$204,1,$B$5:$B$204,"&lt;&gt;"&amp;$B79)&gt;0),ИНФА!$F$31,0),0))</f>
        <v/>
      </c>
    </row>
    <row r="80" customFormat="false" ht="15" hidden="false" customHeight="false" outlineLevel="0" collapsed="false">
      <c r="A80" s="15" t="n">
        <v>76</v>
      </c>
      <c r="B80" s="44"/>
      <c r="C80" s="44"/>
      <c r="D80" s="44"/>
      <c r="E80" s="44"/>
      <c r="F80" s="43"/>
      <c r="G80" s="38" t="str">
        <f aca="false">IF($C80="","",IF($F80&lt;&gt;"",$F80,INDEX(ИНФА!$M$5:$M$19,MATCH($C80,ИНФА!$I$5:$I$19,0))))</f>
        <v/>
      </c>
      <c r="H80" s="43"/>
      <c r="I80" s="38" t="str">
        <f aca="false">IF($C80="","",G80-N(H80))</f>
        <v/>
      </c>
      <c r="J80" s="37" t="str">
        <f aca="false">IF($C80="","",INDEX(ИНФА!$J$5:$J$19,MATCH($C80,ИНФА!$I$5:$I$19,0)))</f>
        <v/>
      </c>
      <c r="K80" s="37" t="str">
        <f aca="false">IF($C80="","",INDEX(ИНФА!$K$5:$K$19,MATCH($C80,ИНФА!$I$5:$I$19,0)))</f>
        <v/>
      </c>
      <c r="L80" s="38" t="str">
        <f aca="false">IF($C80="","",INDEX(ИНФА!$O$5:$O$19,MATCH($C80,ИНФА!$I$5:$I$19,0)))</f>
        <v/>
      </c>
      <c r="M80" s="38" t="str">
        <f aca="false">IF($C80="","",INDEX(ИНФА!$P$5:$P$19,MATCH($C80,ИНФА!$I$5:$I$19,0)))</f>
        <v/>
      </c>
      <c r="N80" s="44"/>
      <c r="O80" s="48" t="n">
        <f aca="false">IF(OR($C80="",$N80=""),1,IF(AND($J80="Услуги",IFERROR(INDEX($C$5:$C$204,MATCH($N80,$A$5:$A$204,0))=INDEX(ИНФА!$L$5:$L$19,MATCH($C80,ИНФА!$I$5:$I$19,0)),FALSE()),IFERROR(INDEX($W$5:$W$204,MATCH($N80,$A$5:$A$204,0))=1,FALSE()),COUNTIF($N$5:$N80,$N80)&lt;=ИНФА!$F$16),1+ИНФА!$F$15,1))</f>
        <v>1</v>
      </c>
      <c r="P80" s="47" t="str">
        <f aca="false">IF($C80="","",IF($J80&lt;&gt;"Услуги","",IF($N80="","нет поставщика — нужен "&amp;INDEX(ИНФА!$L$5:$L$19,MATCH($C80,ИНФА!$I$5:$I$19,0)),IF($O80&gt;1,"✓ поставка работает (+50%)",IF(IFERROR(INDEX($C$5:$C$204,MATCH($N80,$A$5:$A$204,0))&lt;&gt;INDEX(ИНФА!$L$5:$L$19,MATCH($C80,ИНФА!$I$5:$I$19,0)),TRUE()),"не тот поставщик: нужен "&amp;INDEX(ИНФА!$L$5:$L$19,MATCH($C80,ИНФА!$I$5:$I$19,0)),IF(COUNTIF($N$5:$N80,$N80)&gt;ИНФА!$F$16,"поставщик перегружен","поставщик ещё не работает или продан"))))))</f>
        <v/>
      </c>
      <c r="Q80" s="44"/>
      <c r="R80" s="48" t="str">
        <f aca="false">IF($C80="","",IF($Q80="",1,IFERROR(INDEX(НАУКА!$K$5:$K$44,MATCH($Q80,НАУКА!$A$5:$A$44,0)),1)))</f>
        <v/>
      </c>
      <c r="S80" s="37" t="str">
        <f aca="false">IF($Q80="","",IFERROR(INDEX(НАУКА!$G$5:$G$44,MATCH($Q80,НАУКА!$A$5:$A$44,0)),""))</f>
        <v/>
      </c>
      <c r="T80" s="44"/>
      <c r="U80" s="44"/>
      <c r="V80" s="43"/>
      <c r="W80" s="37" t="n">
        <f aca="false">IF(OR($C80="",$D80=""),0,IF(AND($D80&lt;ИНФА!$F$5,OR($T80="",$T80&gt;=ИНФА!$F$5)),1,0))</f>
        <v>0</v>
      </c>
      <c r="X80" s="46" t="str">
        <f aca="false">IF($C80="","",INDEX(СОБЫТИЯ!$B$5:$K$8,MATCH($K80,СОБЫТИЯ!$A$5:$A$8,0),ИНФА!$F$5))</f>
        <v/>
      </c>
      <c r="Y80" s="42" t="str">
        <f aca="false">IF($C80="","",IF($W80=1,ROUND($L80*$O80*IF(AND($Q80&lt;&gt;"",$S80&lt;&gt;""),IF($S80&lt;ИНФА!$F$5,$R80,1),1)*$X80,0)-$M80+N($AF80)+N($AG80),0))</f>
        <v/>
      </c>
      <c r="Z80" s="38" t="str">
        <f aca="false">IF($C80="","",IF($T80="",INDEX(ИНФА!$M$5:$M$19,MATCH($C80,ИНФА!$I$5:$I$19,0)),0))</f>
        <v/>
      </c>
      <c r="AA80" s="38" t="str">
        <f aca="false">IF(OR($C80="",$T80=""),"",IF($V80&lt;&gt;"",$V80,INDEX(ИНФА!$N$5:$N$19,MATCH($C80,ИНФА!$I$5:$I$19,0))))</f>
        <v/>
      </c>
      <c r="AB80" s="37" t="str">
        <f aca="false">IF($C80="","",IF($T80&lt;&gt;"",IF($U80&lt;&gt;"","продано компании "&amp;$U80&amp;" в цикле "&amp;$T80,"продано Инфраструктуре в цикле "&amp;$T80),IF($D80&gt;=ИНФА!$F$5,"доход со следующего цикла","приносит доход")))</f>
        <v/>
      </c>
      <c r="AC80" s="47" t="str">
        <f aca="false">IF($C80="","",IF($F80="","",IF($E80="","укажите продавца; ",IF(OR($F80&lt;INDEX(ИНФА!$N$5:$N$19,MATCH($C80,ИНФА!$I$5:$I$19,0)),$F80&gt;INDEX(ИНФА!$M$5:$M$19,MATCH($C80,ИНФА!$I$5:$I$19,0))),"цена покупки вне коридора! ","")))&amp;IF($U80="","",IF(OR($V80="",$T80=""),"укажите цикл и цену продажи; ",IF(OR($V80&lt;INDEX(ИНФА!$N$5:$N$19,MATCH($C80,ИНФА!$I$5:$I$19,0)),$V80&gt;INDEX(ИНФА!$M$5:$M$19,MATCH($C80,ИНФА!$I$5:$I$19,0))),"цена продажи вне коридора! ","")))&amp;IF(AND($T80="",COUNTIFS($C$5:$C80,$C80,$T$5:$T80,"")&gt;INDEX(ИНФА!$Q$5:$Q$19,MATCH($C80,ИНФА!$I$5:$I$19,0))),"лотов нет! ","")&amp;IF(AND($E80&lt;&gt;"",$F80=""),"укажите цену сделки; ","")&amp;IF(AND(N($H80)&gt;0,OR($AD80="",$AD80="Профессия"),OR($H80&gt;ИНФА!$F$29,$I80&lt;INDEX(ИНФА!$N$5:$N$19,MATCH($C80,ИНФА!$I$5:$I$19,0))+ИНФА!$F$30)),"скидка больше лимита или цена ниже выкупа + 500! ","")&amp;IF($AE80="","",IF(IFERROR(INDEX($B$5:$B$204,MATCH($AE80,$A$5:$A$204,0))=$B80,TRUE()),"бизнес-пара — только со зданием другой компании; ",""))&amp;IF($Q80="","",IF(IFERROR(INDEX(НАУКА!$B$5:$B$44,MATCH($Q80,НАУКА!$A$5:$A$44,0))&lt;&gt;$B80,FALSE()),"патент другой компании — нужна лицензия или соглашение; ","")))</f>
        <v/>
      </c>
      <c r="AD80" s="44"/>
      <c r="AE80" s="44"/>
      <c r="AF80" s="38" t="str">
        <f aca="false">IF($C80="","",IF(AND($W80=1,OR($C80="Дом",$C80="Кафе")),ИНФА!$F$17*(COUNTIFS($B$5:$B80,$B80,$C$5:$C80,$C80,$W$5:$W80,1)&lt;=COUNTIFS($B$5:$B$204,$B80,$C$5:$C$204,"Парк",$W$5:$W$204,1)),0))</f>
        <v/>
      </c>
      <c r="AG80" s="38" t="str">
        <f aca="false">IF($C80="","",IF($W80=1,IF(OR(AND($AE80&lt;&gt;"",IFERROR(INDEX($W$5:$W$204,MATCH($AE80,$A$5:$A$204,0))=1,FALSE()),IFERROR(INDEX($B$5:$B$204,MATCH($AE80,$A$5:$A$204,0))&lt;&gt;$B80,FALSE())),COUNTIFS($AE$5:$AE$204,$A80,$W$5:$W$204,1,$B$5:$B$204,"&lt;&gt;"&amp;$B80)&gt;0),ИНФА!$F$31,0),0))</f>
        <v/>
      </c>
    </row>
    <row r="81" customFormat="false" ht="15" hidden="false" customHeight="false" outlineLevel="0" collapsed="false">
      <c r="A81" s="15" t="n">
        <v>77</v>
      </c>
      <c r="B81" s="44"/>
      <c r="C81" s="44"/>
      <c r="D81" s="44"/>
      <c r="E81" s="44"/>
      <c r="F81" s="43"/>
      <c r="G81" s="38" t="str">
        <f aca="false">IF($C81="","",IF($F81&lt;&gt;"",$F81,INDEX(ИНФА!$M$5:$M$19,MATCH($C81,ИНФА!$I$5:$I$19,0))))</f>
        <v/>
      </c>
      <c r="H81" s="43"/>
      <c r="I81" s="38" t="str">
        <f aca="false">IF($C81="","",G81-N(H81))</f>
        <v/>
      </c>
      <c r="J81" s="37" t="str">
        <f aca="false">IF($C81="","",INDEX(ИНФА!$J$5:$J$19,MATCH($C81,ИНФА!$I$5:$I$19,0)))</f>
        <v/>
      </c>
      <c r="K81" s="37" t="str">
        <f aca="false">IF($C81="","",INDEX(ИНФА!$K$5:$K$19,MATCH($C81,ИНФА!$I$5:$I$19,0)))</f>
        <v/>
      </c>
      <c r="L81" s="38" t="str">
        <f aca="false">IF($C81="","",INDEX(ИНФА!$O$5:$O$19,MATCH($C81,ИНФА!$I$5:$I$19,0)))</f>
        <v/>
      </c>
      <c r="M81" s="38" t="str">
        <f aca="false">IF($C81="","",INDEX(ИНФА!$P$5:$P$19,MATCH($C81,ИНФА!$I$5:$I$19,0)))</f>
        <v/>
      </c>
      <c r="N81" s="44"/>
      <c r="O81" s="48" t="n">
        <f aca="false">IF(OR($C81="",$N81=""),1,IF(AND($J81="Услуги",IFERROR(INDEX($C$5:$C$204,MATCH($N81,$A$5:$A$204,0))=INDEX(ИНФА!$L$5:$L$19,MATCH($C81,ИНФА!$I$5:$I$19,0)),FALSE()),IFERROR(INDEX($W$5:$W$204,MATCH($N81,$A$5:$A$204,0))=1,FALSE()),COUNTIF($N$5:$N81,$N81)&lt;=ИНФА!$F$16),1+ИНФА!$F$15,1))</f>
        <v>1</v>
      </c>
      <c r="P81" s="47" t="str">
        <f aca="false">IF($C81="","",IF($J81&lt;&gt;"Услуги","",IF($N81="","нет поставщика — нужен "&amp;INDEX(ИНФА!$L$5:$L$19,MATCH($C81,ИНФА!$I$5:$I$19,0)),IF($O81&gt;1,"✓ поставка работает (+50%)",IF(IFERROR(INDEX($C$5:$C$204,MATCH($N81,$A$5:$A$204,0))&lt;&gt;INDEX(ИНФА!$L$5:$L$19,MATCH($C81,ИНФА!$I$5:$I$19,0)),TRUE()),"не тот поставщик: нужен "&amp;INDEX(ИНФА!$L$5:$L$19,MATCH($C81,ИНФА!$I$5:$I$19,0)),IF(COUNTIF($N$5:$N81,$N81)&gt;ИНФА!$F$16,"поставщик перегружен","поставщик ещё не работает или продан"))))))</f>
        <v/>
      </c>
      <c r="Q81" s="44"/>
      <c r="R81" s="48" t="str">
        <f aca="false">IF($C81="","",IF($Q81="",1,IFERROR(INDEX(НАУКА!$K$5:$K$44,MATCH($Q81,НАУКА!$A$5:$A$44,0)),1)))</f>
        <v/>
      </c>
      <c r="S81" s="37" t="str">
        <f aca="false">IF($Q81="","",IFERROR(INDEX(НАУКА!$G$5:$G$44,MATCH($Q81,НАУКА!$A$5:$A$44,0)),""))</f>
        <v/>
      </c>
      <c r="T81" s="44"/>
      <c r="U81" s="44"/>
      <c r="V81" s="43"/>
      <c r="W81" s="37" t="n">
        <f aca="false">IF(OR($C81="",$D81=""),0,IF(AND($D81&lt;ИНФА!$F$5,OR($T81="",$T81&gt;=ИНФА!$F$5)),1,0))</f>
        <v>0</v>
      </c>
      <c r="X81" s="46" t="str">
        <f aca="false">IF($C81="","",INDEX(СОБЫТИЯ!$B$5:$K$8,MATCH($K81,СОБЫТИЯ!$A$5:$A$8,0),ИНФА!$F$5))</f>
        <v/>
      </c>
      <c r="Y81" s="42" t="str">
        <f aca="false">IF($C81="","",IF($W81=1,ROUND($L81*$O81*IF(AND($Q81&lt;&gt;"",$S81&lt;&gt;""),IF($S81&lt;ИНФА!$F$5,$R81,1),1)*$X81,0)-$M81+N($AF81)+N($AG81),0))</f>
        <v/>
      </c>
      <c r="Z81" s="38" t="str">
        <f aca="false">IF($C81="","",IF($T81="",INDEX(ИНФА!$M$5:$M$19,MATCH($C81,ИНФА!$I$5:$I$19,0)),0))</f>
        <v/>
      </c>
      <c r="AA81" s="38" t="str">
        <f aca="false">IF(OR($C81="",$T81=""),"",IF($V81&lt;&gt;"",$V81,INDEX(ИНФА!$N$5:$N$19,MATCH($C81,ИНФА!$I$5:$I$19,0))))</f>
        <v/>
      </c>
      <c r="AB81" s="37" t="str">
        <f aca="false">IF($C81="","",IF($T81&lt;&gt;"",IF($U81&lt;&gt;"","продано компании "&amp;$U81&amp;" в цикле "&amp;$T81,"продано Инфраструктуре в цикле "&amp;$T81),IF($D81&gt;=ИНФА!$F$5,"доход со следующего цикла","приносит доход")))</f>
        <v/>
      </c>
      <c r="AC81" s="47" t="str">
        <f aca="false">IF($C81="","",IF($F81="","",IF($E81="","укажите продавца; ",IF(OR($F81&lt;INDEX(ИНФА!$N$5:$N$19,MATCH($C81,ИНФА!$I$5:$I$19,0)),$F81&gt;INDEX(ИНФА!$M$5:$M$19,MATCH($C81,ИНФА!$I$5:$I$19,0))),"цена покупки вне коридора! ","")))&amp;IF($U81="","",IF(OR($V81="",$T81=""),"укажите цикл и цену продажи; ",IF(OR($V81&lt;INDEX(ИНФА!$N$5:$N$19,MATCH($C81,ИНФА!$I$5:$I$19,0)),$V81&gt;INDEX(ИНФА!$M$5:$M$19,MATCH($C81,ИНФА!$I$5:$I$19,0))),"цена продажи вне коридора! ","")))&amp;IF(AND($T81="",COUNTIFS($C$5:$C81,$C81,$T$5:$T81,"")&gt;INDEX(ИНФА!$Q$5:$Q$19,MATCH($C81,ИНФА!$I$5:$I$19,0))),"лотов нет! ","")&amp;IF(AND($E81&lt;&gt;"",$F81=""),"укажите цену сделки; ","")&amp;IF(AND(N($H81)&gt;0,OR($AD81="",$AD81="Профессия"),OR($H81&gt;ИНФА!$F$29,$I81&lt;INDEX(ИНФА!$N$5:$N$19,MATCH($C81,ИНФА!$I$5:$I$19,0))+ИНФА!$F$30)),"скидка больше лимита или цена ниже выкупа + 500! ","")&amp;IF($AE81="","",IF(IFERROR(INDEX($B$5:$B$204,MATCH($AE81,$A$5:$A$204,0))=$B81,TRUE()),"бизнес-пара — только со зданием другой компании; ",""))&amp;IF($Q81="","",IF(IFERROR(INDEX(НАУКА!$B$5:$B$44,MATCH($Q81,НАУКА!$A$5:$A$44,0))&lt;&gt;$B81,FALSE()),"патент другой компании — нужна лицензия или соглашение; ","")))</f>
        <v/>
      </c>
      <c r="AD81" s="44"/>
      <c r="AE81" s="44"/>
      <c r="AF81" s="38" t="str">
        <f aca="false">IF($C81="","",IF(AND($W81=1,OR($C81="Дом",$C81="Кафе")),ИНФА!$F$17*(COUNTIFS($B$5:$B81,$B81,$C$5:$C81,$C81,$W$5:$W81,1)&lt;=COUNTIFS($B$5:$B$204,$B81,$C$5:$C$204,"Парк",$W$5:$W$204,1)),0))</f>
        <v/>
      </c>
      <c r="AG81" s="38" t="str">
        <f aca="false">IF($C81="","",IF($W81=1,IF(OR(AND($AE81&lt;&gt;"",IFERROR(INDEX($W$5:$W$204,MATCH($AE81,$A$5:$A$204,0))=1,FALSE()),IFERROR(INDEX($B$5:$B$204,MATCH($AE81,$A$5:$A$204,0))&lt;&gt;$B81,FALSE())),COUNTIFS($AE$5:$AE$204,$A81,$W$5:$W$204,1,$B$5:$B$204,"&lt;&gt;"&amp;$B81)&gt;0),ИНФА!$F$31,0),0))</f>
        <v/>
      </c>
    </row>
    <row r="82" customFormat="false" ht="15" hidden="false" customHeight="false" outlineLevel="0" collapsed="false">
      <c r="A82" s="15" t="n">
        <v>78</v>
      </c>
      <c r="B82" s="44"/>
      <c r="C82" s="44"/>
      <c r="D82" s="44"/>
      <c r="E82" s="44"/>
      <c r="F82" s="43"/>
      <c r="G82" s="38" t="str">
        <f aca="false">IF($C82="","",IF($F82&lt;&gt;"",$F82,INDEX(ИНФА!$M$5:$M$19,MATCH($C82,ИНФА!$I$5:$I$19,0))))</f>
        <v/>
      </c>
      <c r="H82" s="43"/>
      <c r="I82" s="38" t="str">
        <f aca="false">IF($C82="","",G82-N(H82))</f>
        <v/>
      </c>
      <c r="J82" s="37" t="str">
        <f aca="false">IF($C82="","",INDEX(ИНФА!$J$5:$J$19,MATCH($C82,ИНФА!$I$5:$I$19,0)))</f>
        <v/>
      </c>
      <c r="K82" s="37" t="str">
        <f aca="false">IF($C82="","",INDEX(ИНФА!$K$5:$K$19,MATCH($C82,ИНФА!$I$5:$I$19,0)))</f>
        <v/>
      </c>
      <c r="L82" s="38" t="str">
        <f aca="false">IF($C82="","",INDEX(ИНФА!$O$5:$O$19,MATCH($C82,ИНФА!$I$5:$I$19,0)))</f>
        <v/>
      </c>
      <c r="M82" s="38" t="str">
        <f aca="false">IF($C82="","",INDEX(ИНФА!$P$5:$P$19,MATCH($C82,ИНФА!$I$5:$I$19,0)))</f>
        <v/>
      </c>
      <c r="N82" s="44"/>
      <c r="O82" s="48" t="n">
        <f aca="false">IF(OR($C82="",$N82=""),1,IF(AND($J82="Услуги",IFERROR(INDEX($C$5:$C$204,MATCH($N82,$A$5:$A$204,0))=INDEX(ИНФА!$L$5:$L$19,MATCH($C82,ИНФА!$I$5:$I$19,0)),FALSE()),IFERROR(INDEX($W$5:$W$204,MATCH($N82,$A$5:$A$204,0))=1,FALSE()),COUNTIF($N$5:$N82,$N82)&lt;=ИНФА!$F$16),1+ИНФА!$F$15,1))</f>
        <v>1</v>
      </c>
      <c r="P82" s="47" t="str">
        <f aca="false">IF($C82="","",IF($J82&lt;&gt;"Услуги","",IF($N82="","нет поставщика — нужен "&amp;INDEX(ИНФА!$L$5:$L$19,MATCH($C82,ИНФА!$I$5:$I$19,0)),IF($O82&gt;1,"✓ поставка работает (+50%)",IF(IFERROR(INDEX($C$5:$C$204,MATCH($N82,$A$5:$A$204,0))&lt;&gt;INDEX(ИНФА!$L$5:$L$19,MATCH($C82,ИНФА!$I$5:$I$19,0)),TRUE()),"не тот поставщик: нужен "&amp;INDEX(ИНФА!$L$5:$L$19,MATCH($C82,ИНФА!$I$5:$I$19,0)),IF(COUNTIF($N$5:$N82,$N82)&gt;ИНФА!$F$16,"поставщик перегружен","поставщик ещё не работает или продан"))))))</f>
        <v/>
      </c>
      <c r="Q82" s="44"/>
      <c r="R82" s="48" t="str">
        <f aca="false">IF($C82="","",IF($Q82="",1,IFERROR(INDEX(НАУКА!$K$5:$K$44,MATCH($Q82,НАУКА!$A$5:$A$44,0)),1)))</f>
        <v/>
      </c>
      <c r="S82" s="37" t="str">
        <f aca="false">IF($Q82="","",IFERROR(INDEX(НАУКА!$G$5:$G$44,MATCH($Q82,НАУКА!$A$5:$A$44,0)),""))</f>
        <v/>
      </c>
      <c r="T82" s="44"/>
      <c r="U82" s="44"/>
      <c r="V82" s="43"/>
      <c r="W82" s="37" t="n">
        <f aca="false">IF(OR($C82="",$D82=""),0,IF(AND($D82&lt;ИНФА!$F$5,OR($T82="",$T82&gt;=ИНФА!$F$5)),1,0))</f>
        <v>0</v>
      </c>
      <c r="X82" s="46" t="str">
        <f aca="false">IF($C82="","",INDEX(СОБЫТИЯ!$B$5:$K$8,MATCH($K82,СОБЫТИЯ!$A$5:$A$8,0),ИНФА!$F$5))</f>
        <v/>
      </c>
      <c r="Y82" s="42" t="str">
        <f aca="false">IF($C82="","",IF($W82=1,ROUND($L82*$O82*IF(AND($Q82&lt;&gt;"",$S82&lt;&gt;""),IF($S82&lt;ИНФА!$F$5,$R82,1),1)*$X82,0)-$M82+N($AF82)+N($AG82),0))</f>
        <v/>
      </c>
      <c r="Z82" s="38" t="str">
        <f aca="false">IF($C82="","",IF($T82="",INDEX(ИНФА!$M$5:$M$19,MATCH($C82,ИНФА!$I$5:$I$19,0)),0))</f>
        <v/>
      </c>
      <c r="AA82" s="38" t="str">
        <f aca="false">IF(OR($C82="",$T82=""),"",IF($V82&lt;&gt;"",$V82,INDEX(ИНФА!$N$5:$N$19,MATCH($C82,ИНФА!$I$5:$I$19,0))))</f>
        <v/>
      </c>
      <c r="AB82" s="37" t="str">
        <f aca="false">IF($C82="","",IF($T82&lt;&gt;"",IF($U82&lt;&gt;"","продано компании "&amp;$U82&amp;" в цикле "&amp;$T82,"продано Инфраструктуре в цикле "&amp;$T82),IF($D82&gt;=ИНФА!$F$5,"доход со следующего цикла","приносит доход")))</f>
        <v/>
      </c>
      <c r="AC82" s="47" t="str">
        <f aca="false">IF($C82="","",IF($F82="","",IF($E82="","укажите продавца; ",IF(OR($F82&lt;INDEX(ИНФА!$N$5:$N$19,MATCH($C82,ИНФА!$I$5:$I$19,0)),$F82&gt;INDEX(ИНФА!$M$5:$M$19,MATCH($C82,ИНФА!$I$5:$I$19,0))),"цена покупки вне коридора! ","")))&amp;IF($U82="","",IF(OR($V82="",$T82=""),"укажите цикл и цену продажи; ",IF(OR($V82&lt;INDEX(ИНФА!$N$5:$N$19,MATCH($C82,ИНФА!$I$5:$I$19,0)),$V82&gt;INDEX(ИНФА!$M$5:$M$19,MATCH($C82,ИНФА!$I$5:$I$19,0))),"цена продажи вне коридора! ","")))&amp;IF(AND($T82="",COUNTIFS($C$5:$C82,$C82,$T$5:$T82,"")&gt;INDEX(ИНФА!$Q$5:$Q$19,MATCH($C82,ИНФА!$I$5:$I$19,0))),"лотов нет! ","")&amp;IF(AND($E82&lt;&gt;"",$F82=""),"укажите цену сделки; ","")&amp;IF(AND(N($H82)&gt;0,OR($AD82="",$AD82="Профессия"),OR($H82&gt;ИНФА!$F$29,$I82&lt;INDEX(ИНФА!$N$5:$N$19,MATCH($C82,ИНФА!$I$5:$I$19,0))+ИНФА!$F$30)),"скидка больше лимита или цена ниже выкупа + 500! ","")&amp;IF($AE82="","",IF(IFERROR(INDEX($B$5:$B$204,MATCH($AE82,$A$5:$A$204,0))=$B82,TRUE()),"бизнес-пара — только со зданием другой компании; ",""))&amp;IF($Q82="","",IF(IFERROR(INDEX(НАУКА!$B$5:$B$44,MATCH($Q82,НАУКА!$A$5:$A$44,0))&lt;&gt;$B82,FALSE()),"патент другой компании — нужна лицензия или соглашение; ","")))</f>
        <v/>
      </c>
      <c r="AD82" s="44"/>
      <c r="AE82" s="44"/>
      <c r="AF82" s="38" t="str">
        <f aca="false">IF($C82="","",IF(AND($W82=1,OR($C82="Дом",$C82="Кафе")),ИНФА!$F$17*(COUNTIFS($B$5:$B82,$B82,$C$5:$C82,$C82,$W$5:$W82,1)&lt;=COUNTIFS($B$5:$B$204,$B82,$C$5:$C$204,"Парк",$W$5:$W$204,1)),0))</f>
        <v/>
      </c>
      <c r="AG82" s="38" t="str">
        <f aca="false">IF($C82="","",IF($W82=1,IF(OR(AND($AE82&lt;&gt;"",IFERROR(INDEX($W$5:$W$204,MATCH($AE82,$A$5:$A$204,0))=1,FALSE()),IFERROR(INDEX($B$5:$B$204,MATCH($AE82,$A$5:$A$204,0))&lt;&gt;$B82,FALSE())),COUNTIFS($AE$5:$AE$204,$A82,$W$5:$W$204,1,$B$5:$B$204,"&lt;&gt;"&amp;$B82)&gt;0),ИНФА!$F$31,0),0))</f>
        <v/>
      </c>
    </row>
    <row r="83" customFormat="false" ht="15" hidden="false" customHeight="false" outlineLevel="0" collapsed="false">
      <c r="A83" s="15" t="n">
        <v>79</v>
      </c>
      <c r="B83" s="44"/>
      <c r="C83" s="44"/>
      <c r="D83" s="44"/>
      <c r="E83" s="44"/>
      <c r="F83" s="43"/>
      <c r="G83" s="38" t="str">
        <f aca="false">IF($C83="","",IF($F83&lt;&gt;"",$F83,INDEX(ИНФА!$M$5:$M$19,MATCH($C83,ИНФА!$I$5:$I$19,0))))</f>
        <v/>
      </c>
      <c r="H83" s="43"/>
      <c r="I83" s="38" t="str">
        <f aca="false">IF($C83="","",G83-N(H83))</f>
        <v/>
      </c>
      <c r="J83" s="37" t="str">
        <f aca="false">IF($C83="","",INDEX(ИНФА!$J$5:$J$19,MATCH($C83,ИНФА!$I$5:$I$19,0)))</f>
        <v/>
      </c>
      <c r="K83" s="37" t="str">
        <f aca="false">IF($C83="","",INDEX(ИНФА!$K$5:$K$19,MATCH($C83,ИНФА!$I$5:$I$19,0)))</f>
        <v/>
      </c>
      <c r="L83" s="38" t="str">
        <f aca="false">IF($C83="","",INDEX(ИНФА!$O$5:$O$19,MATCH($C83,ИНФА!$I$5:$I$19,0)))</f>
        <v/>
      </c>
      <c r="M83" s="38" t="str">
        <f aca="false">IF($C83="","",INDEX(ИНФА!$P$5:$P$19,MATCH($C83,ИНФА!$I$5:$I$19,0)))</f>
        <v/>
      </c>
      <c r="N83" s="44"/>
      <c r="O83" s="48" t="n">
        <f aca="false">IF(OR($C83="",$N83=""),1,IF(AND($J83="Услуги",IFERROR(INDEX($C$5:$C$204,MATCH($N83,$A$5:$A$204,0))=INDEX(ИНФА!$L$5:$L$19,MATCH($C83,ИНФА!$I$5:$I$19,0)),FALSE()),IFERROR(INDEX($W$5:$W$204,MATCH($N83,$A$5:$A$204,0))=1,FALSE()),COUNTIF($N$5:$N83,$N83)&lt;=ИНФА!$F$16),1+ИНФА!$F$15,1))</f>
        <v>1</v>
      </c>
      <c r="P83" s="47" t="str">
        <f aca="false">IF($C83="","",IF($J83&lt;&gt;"Услуги","",IF($N83="","нет поставщика — нужен "&amp;INDEX(ИНФА!$L$5:$L$19,MATCH($C83,ИНФА!$I$5:$I$19,0)),IF($O83&gt;1,"✓ поставка работает (+50%)",IF(IFERROR(INDEX($C$5:$C$204,MATCH($N83,$A$5:$A$204,0))&lt;&gt;INDEX(ИНФА!$L$5:$L$19,MATCH($C83,ИНФА!$I$5:$I$19,0)),TRUE()),"не тот поставщик: нужен "&amp;INDEX(ИНФА!$L$5:$L$19,MATCH($C83,ИНФА!$I$5:$I$19,0)),IF(COUNTIF($N$5:$N83,$N83)&gt;ИНФА!$F$16,"поставщик перегружен","поставщик ещё не работает или продан"))))))</f>
        <v/>
      </c>
      <c r="Q83" s="44"/>
      <c r="R83" s="48" t="str">
        <f aca="false">IF($C83="","",IF($Q83="",1,IFERROR(INDEX(НАУКА!$K$5:$K$44,MATCH($Q83,НАУКА!$A$5:$A$44,0)),1)))</f>
        <v/>
      </c>
      <c r="S83" s="37" t="str">
        <f aca="false">IF($Q83="","",IFERROR(INDEX(НАУКА!$G$5:$G$44,MATCH($Q83,НАУКА!$A$5:$A$44,0)),""))</f>
        <v/>
      </c>
      <c r="T83" s="44"/>
      <c r="U83" s="44"/>
      <c r="V83" s="43"/>
      <c r="W83" s="37" t="n">
        <f aca="false">IF(OR($C83="",$D83=""),0,IF(AND($D83&lt;ИНФА!$F$5,OR($T83="",$T83&gt;=ИНФА!$F$5)),1,0))</f>
        <v>0</v>
      </c>
      <c r="X83" s="46" t="str">
        <f aca="false">IF($C83="","",INDEX(СОБЫТИЯ!$B$5:$K$8,MATCH($K83,СОБЫТИЯ!$A$5:$A$8,0),ИНФА!$F$5))</f>
        <v/>
      </c>
      <c r="Y83" s="42" t="str">
        <f aca="false">IF($C83="","",IF($W83=1,ROUND($L83*$O83*IF(AND($Q83&lt;&gt;"",$S83&lt;&gt;""),IF($S83&lt;ИНФА!$F$5,$R83,1),1)*$X83,0)-$M83+N($AF83)+N($AG83),0))</f>
        <v/>
      </c>
      <c r="Z83" s="38" t="str">
        <f aca="false">IF($C83="","",IF($T83="",INDEX(ИНФА!$M$5:$M$19,MATCH($C83,ИНФА!$I$5:$I$19,0)),0))</f>
        <v/>
      </c>
      <c r="AA83" s="38" t="str">
        <f aca="false">IF(OR($C83="",$T83=""),"",IF($V83&lt;&gt;"",$V83,INDEX(ИНФА!$N$5:$N$19,MATCH($C83,ИНФА!$I$5:$I$19,0))))</f>
        <v/>
      </c>
      <c r="AB83" s="37" t="str">
        <f aca="false">IF($C83="","",IF($T83&lt;&gt;"",IF($U83&lt;&gt;"","продано компании "&amp;$U83&amp;" в цикле "&amp;$T83,"продано Инфраструктуре в цикле "&amp;$T83),IF($D83&gt;=ИНФА!$F$5,"доход со следующего цикла","приносит доход")))</f>
        <v/>
      </c>
      <c r="AC83" s="47" t="str">
        <f aca="false">IF($C83="","",IF($F83="","",IF($E83="","укажите продавца; ",IF(OR($F83&lt;INDEX(ИНФА!$N$5:$N$19,MATCH($C83,ИНФА!$I$5:$I$19,0)),$F83&gt;INDEX(ИНФА!$M$5:$M$19,MATCH($C83,ИНФА!$I$5:$I$19,0))),"цена покупки вне коридора! ","")))&amp;IF($U83="","",IF(OR($V83="",$T83=""),"укажите цикл и цену продажи; ",IF(OR($V83&lt;INDEX(ИНФА!$N$5:$N$19,MATCH($C83,ИНФА!$I$5:$I$19,0)),$V83&gt;INDEX(ИНФА!$M$5:$M$19,MATCH($C83,ИНФА!$I$5:$I$19,0))),"цена продажи вне коридора! ","")))&amp;IF(AND($T83="",COUNTIFS($C$5:$C83,$C83,$T$5:$T83,"")&gt;INDEX(ИНФА!$Q$5:$Q$19,MATCH($C83,ИНФА!$I$5:$I$19,0))),"лотов нет! ","")&amp;IF(AND($E83&lt;&gt;"",$F83=""),"укажите цену сделки; ","")&amp;IF(AND(N($H83)&gt;0,OR($AD83="",$AD83="Профессия"),OR($H83&gt;ИНФА!$F$29,$I83&lt;INDEX(ИНФА!$N$5:$N$19,MATCH($C83,ИНФА!$I$5:$I$19,0))+ИНФА!$F$30)),"скидка больше лимита или цена ниже выкупа + 500! ","")&amp;IF($AE83="","",IF(IFERROR(INDEX($B$5:$B$204,MATCH($AE83,$A$5:$A$204,0))=$B83,TRUE()),"бизнес-пара — только со зданием другой компании; ",""))&amp;IF($Q83="","",IF(IFERROR(INDEX(НАУКА!$B$5:$B$44,MATCH($Q83,НАУКА!$A$5:$A$44,0))&lt;&gt;$B83,FALSE()),"патент другой компании — нужна лицензия или соглашение; ","")))</f>
        <v/>
      </c>
      <c r="AD83" s="44"/>
      <c r="AE83" s="44"/>
      <c r="AF83" s="38" t="str">
        <f aca="false">IF($C83="","",IF(AND($W83=1,OR($C83="Дом",$C83="Кафе")),ИНФА!$F$17*(COUNTIFS($B$5:$B83,$B83,$C$5:$C83,$C83,$W$5:$W83,1)&lt;=COUNTIFS($B$5:$B$204,$B83,$C$5:$C$204,"Парк",$W$5:$W$204,1)),0))</f>
        <v/>
      </c>
      <c r="AG83" s="38" t="str">
        <f aca="false">IF($C83="","",IF($W83=1,IF(OR(AND($AE83&lt;&gt;"",IFERROR(INDEX($W$5:$W$204,MATCH($AE83,$A$5:$A$204,0))=1,FALSE()),IFERROR(INDEX($B$5:$B$204,MATCH($AE83,$A$5:$A$204,0))&lt;&gt;$B83,FALSE())),COUNTIFS($AE$5:$AE$204,$A83,$W$5:$W$204,1,$B$5:$B$204,"&lt;&gt;"&amp;$B83)&gt;0),ИНФА!$F$31,0),0))</f>
        <v/>
      </c>
    </row>
    <row r="84" customFormat="false" ht="15" hidden="false" customHeight="false" outlineLevel="0" collapsed="false">
      <c r="A84" s="15" t="n">
        <v>80</v>
      </c>
      <c r="B84" s="44"/>
      <c r="C84" s="44"/>
      <c r="D84" s="44"/>
      <c r="E84" s="44"/>
      <c r="F84" s="43"/>
      <c r="G84" s="38" t="str">
        <f aca="false">IF($C84="","",IF($F84&lt;&gt;"",$F84,INDEX(ИНФА!$M$5:$M$19,MATCH($C84,ИНФА!$I$5:$I$19,0))))</f>
        <v/>
      </c>
      <c r="H84" s="43"/>
      <c r="I84" s="38" t="str">
        <f aca="false">IF($C84="","",G84-N(H84))</f>
        <v/>
      </c>
      <c r="J84" s="37" t="str">
        <f aca="false">IF($C84="","",INDEX(ИНФА!$J$5:$J$19,MATCH($C84,ИНФА!$I$5:$I$19,0)))</f>
        <v/>
      </c>
      <c r="K84" s="37" t="str">
        <f aca="false">IF($C84="","",INDEX(ИНФА!$K$5:$K$19,MATCH($C84,ИНФА!$I$5:$I$19,0)))</f>
        <v/>
      </c>
      <c r="L84" s="38" t="str">
        <f aca="false">IF($C84="","",INDEX(ИНФА!$O$5:$O$19,MATCH($C84,ИНФА!$I$5:$I$19,0)))</f>
        <v/>
      </c>
      <c r="M84" s="38" t="str">
        <f aca="false">IF($C84="","",INDEX(ИНФА!$P$5:$P$19,MATCH($C84,ИНФА!$I$5:$I$19,0)))</f>
        <v/>
      </c>
      <c r="N84" s="44"/>
      <c r="O84" s="48" t="n">
        <f aca="false">IF(OR($C84="",$N84=""),1,IF(AND($J84="Услуги",IFERROR(INDEX($C$5:$C$204,MATCH($N84,$A$5:$A$204,0))=INDEX(ИНФА!$L$5:$L$19,MATCH($C84,ИНФА!$I$5:$I$19,0)),FALSE()),IFERROR(INDEX($W$5:$W$204,MATCH($N84,$A$5:$A$204,0))=1,FALSE()),COUNTIF($N$5:$N84,$N84)&lt;=ИНФА!$F$16),1+ИНФА!$F$15,1))</f>
        <v>1</v>
      </c>
      <c r="P84" s="47" t="str">
        <f aca="false">IF($C84="","",IF($J84&lt;&gt;"Услуги","",IF($N84="","нет поставщика — нужен "&amp;INDEX(ИНФА!$L$5:$L$19,MATCH($C84,ИНФА!$I$5:$I$19,0)),IF($O84&gt;1,"✓ поставка работает (+50%)",IF(IFERROR(INDEX($C$5:$C$204,MATCH($N84,$A$5:$A$204,0))&lt;&gt;INDEX(ИНФА!$L$5:$L$19,MATCH($C84,ИНФА!$I$5:$I$19,0)),TRUE()),"не тот поставщик: нужен "&amp;INDEX(ИНФА!$L$5:$L$19,MATCH($C84,ИНФА!$I$5:$I$19,0)),IF(COUNTIF($N$5:$N84,$N84)&gt;ИНФА!$F$16,"поставщик перегружен","поставщик ещё не работает или продан"))))))</f>
        <v/>
      </c>
      <c r="Q84" s="44"/>
      <c r="R84" s="48" t="str">
        <f aca="false">IF($C84="","",IF($Q84="",1,IFERROR(INDEX(НАУКА!$K$5:$K$44,MATCH($Q84,НАУКА!$A$5:$A$44,0)),1)))</f>
        <v/>
      </c>
      <c r="S84" s="37" t="str">
        <f aca="false">IF($Q84="","",IFERROR(INDEX(НАУКА!$G$5:$G$44,MATCH($Q84,НАУКА!$A$5:$A$44,0)),""))</f>
        <v/>
      </c>
      <c r="T84" s="44"/>
      <c r="U84" s="44"/>
      <c r="V84" s="43"/>
      <c r="W84" s="37" t="n">
        <f aca="false">IF(OR($C84="",$D84=""),0,IF(AND($D84&lt;ИНФА!$F$5,OR($T84="",$T84&gt;=ИНФА!$F$5)),1,0))</f>
        <v>0</v>
      </c>
      <c r="X84" s="46" t="str">
        <f aca="false">IF($C84="","",INDEX(СОБЫТИЯ!$B$5:$K$8,MATCH($K84,СОБЫТИЯ!$A$5:$A$8,0),ИНФА!$F$5))</f>
        <v/>
      </c>
      <c r="Y84" s="42" t="str">
        <f aca="false">IF($C84="","",IF($W84=1,ROUND($L84*$O84*IF(AND($Q84&lt;&gt;"",$S84&lt;&gt;""),IF($S84&lt;ИНФА!$F$5,$R84,1),1)*$X84,0)-$M84+N($AF84)+N($AG84),0))</f>
        <v/>
      </c>
      <c r="Z84" s="38" t="str">
        <f aca="false">IF($C84="","",IF($T84="",INDEX(ИНФА!$M$5:$M$19,MATCH($C84,ИНФА!$I$5:$I$19,0)),0))</f>
        <v/>
      </c>
      <c r="AA84" s="38" t="str">
        <f aca="false">IF(OR($C84="",$T84=""),"",IF($V84&lt;&gt;"",$V84,INDEX(ИНФА!$N$5:$N$19,MATCH($C84,ИНФА!$I$5:$I$19,0))))</f>
        <v/>
      </c>
      <c r="AB84" s="37" t="str">
        <f aca="false">IF($C84="","",IF($T84&lt;&gt;"",IF($U84&lt;&gt;"","продано компании "&amp;$U84&amp;" в цикле "&amp;$T84,"продано Инфраструктуре в цикле "&amp;$T84),IF($D84&gt;=ИНФА!$F$5,"доход со следующего цикла","приносит доход")))</f>
        <v/>
      </c>
      <c r="AC84" s="47" t="str">
        <f aca="false">IF($C84="","",IF($F84="","",IF($E84="","укажите продавца; ",IF(OR($F84&lt;INDEX(ИНФА!$N$5:$N$19,MATCH($C84,ИНФА!$I$5:$I$19,0)),$F84&gt;INDEX(ИНФА!$M$5:$M$19,MATCH($C84,ИНФА!$I$5:$I$19,0))),"цена покупки вне коридора! ","")))&amp;IF($U84="","",IF(OR($V84="",$T84=""),"укажите цикл и цену продажи; ",IF(OR($V84&lt;INDEX(ИНФА!$N$5:$N$19,MATCH($C84,ИНФА!$I$5:$I$19,0)),$V84&gt;INDEX(ИНФА!$M$5:$M$19,MATCH($C84,ИНФА!$I$5:$I$19,0))),"цена продажи вне коридора! ","")))&amp;IF(AND($T84="",COUNTIFS($C$5:$C84,$C84,$T$5:$T84,"")&gt;INDEX(ИНФА!$Q$5:$Q$19,MATCH($C84,ИНФА!$I$5:$I$19,0))),"лотов нет! ","")&amp;IF(AND($E84&lt;&gt;"",$F84=""),"укажите цену сделки; ","")&amp;IF(AND(N($H84)&gt;0,OR($AD84="",$AD84="Профессия"),OR($H84&gt;ИНФА!$F$29,$I84&lt;INDEX(ИНФА!$N$5:$N$19,MATCH($C84,ИНФА!$I$5:$I$19,0))+ИНФА!$F$30)),"скидка больше лимита или цена ниже выкупа + 500! ","")&amp;IF($AE84="","",IF(IFERROR(INDEX($B$5:$B$204,MATCH($AE84,$A$5:$A$204,0))=$B84,TRUE()),"бизнес-пара — только со зданием другой компании; ",""))&amp;IF($Q84="","",IF(IFERROR(INDEX(НАУКА!$B$5:$B$44,MATCH($Q84,НАУКА!$A$5:$A$44,0))&lt;&gt;$B84,FALSE()),"патент другой компании — нужна лицензия или соглашение; ","")))</f>
        <v/>
      </c>
      <c r="AD84" s="44"/>
      <c r="AE84" s="44"/>
      <c r="AF84" s="38" t="str">
        <f aca="false">IF($C84="","",IF(AND($W84=1,OR($C84="Дом",$C84="Кафе")),ИНФА!$F$17*(COUNTIFS($B$5:$B84,$B84,$C$5:$C84,$C84,$W$5:$W84,1)&lt;=COUNTIFS($B$5:$B$204,$B84,$C$5:$C$204,"Парк",$W$5:$W$204,1)),0))</f>
        <v/>
      </c>
      <c r="AG84" s="38" t="str">
        <f aca="false">IF($C84="","",IF($W84=1,IF(OR(AND($AE84&lt;&gt;"",IFERROR(INDEX($W$5:$W$204,MATCH($AE84,$A$5:$A$204,0))=1,FALSE()),IFERROR(INDEX($B$5:$B$204,MATCH($AE84,$A$5:$A$204,0))&lt;&gt;$B84,FALSE())),COUNTIFS($AE$5:$AE$204,$A84,$W$5:$W$204,1,$B$5:$B$204,"&lt;&gt;"&amp;$B84)&gt;0),ИНФА!$F$31,0),0))</f>
        <v/>
      </c>
    </row>
    <row r="85" customFormat="false" ht="15" hidden="false" customHeight="false" outlineLevel="0" collapsed="false">
      <c r="A85" s="15" t="n">
        <v>81</v>
      </c>
      <c r="B85" s="44"/>
      <c r="C85" s="44"/>
      <c r="D85" s="44"/>
      <c r="E85" s="44"/>
      <c r="F85" s="43"/>
      <c r="G85" s="38" t="str">
        <f aca="false">IF($C85="","",IF($F85&lt;&gt;"",$F85,INDEX(ИНФА!$M$5:$M$19,MATCH($C85,ИНФА!$I$5:$I$19,0))))</f>
        <v/>
      </c>
      <c r="H85" s="43"/>
      <c r="I85" s="38" t="str">
        <f aca="false">IF($C85="","",G85-N(H85))</f>
        <v/>
      </c>
      <c r="J85" s="37" t="str">
        <f aca="false">IF($C85="","",INDEX(ИНФА!$J$5:$J$19,MATCH($C85,ИНФА!$I$5:$I$19,0)))</f>
        <v/>
      </c>
      <c r="K85" s="37" t="str">
        <f aca="false">IF($C85="","",INDEX(ИНФА!$K$5:$K$19,MATCH($C85,ИНФА!$I$5:$I$19,0)))</f>
        <v/>
      </c>
      <c r="L85" s="38" t="str">
        <f aca="false">IF($C85="","",INDEX(ИНФА!$O$5:$O$19,MATCH($C85,ИНФА!$I$5:$I$19,0)))</f>
        <v/>
      </c>
      <c r="M85" s="38" t="str">
        <f aca="false">IF($C85="","",INDEX(ИНФА!$P$5:$P$19,MATCH($C85,ИНФА!$I$5:$I$19,0)))</f>
        <v/>
      </c>
      <c r="N85" s="44"/>
      <c r="O85" s="48" t="n">
        <f aca="false">IF(OR($C85="",$N85=""),1,IF(AND($J85="Услуги",IFERROR(INDEX($C$5:$C$204,MATCH($N85,$A$5:$A$204,0))=INDEX(ИНФА!$L$5:$L$19,MATCH($C85,ИНФА!$I$5:$I$19,0)),FALSE()),IFERROR(INDEX($W$5:$W$204,MATCH($N85,$A$5:$A$204,0))=1,FALSE()),COUNTIF($N$5:$N85,$N85)&lt;=ИНФА!$F$16),1+ИНФА!$F$15,1))</f>
        <v>1</v>
      </c>
      <c r="P85" s="47" t="str">
        <f aca="false">IF($C85="","",IF($J85&lt;&gt;"Услуги","",IF($N85="","нет поставщика — нужен "&amp;INDEX(ИНФА!$L$5:$L$19,MATCH($C85,ИНФА!$I$5:$I$19,0)),IF($O85&gt;1,"✓ поставка работает (+50%)",IF(IFERROR(INDEX($C$5:$C$204,MATCH($N85,$A$5:$A$204,0))&lt;&gt;INDEX(ИНФА!$L$5:$L$19,MATCH($C85,ИНФА!$I$5:$I$19,0)),TRUE()),"не тот поставщик: нужен "&amp;INDEX(ИНФА!$L$5:$L$19,MATCH($C85,ИНФА!$I$5:$I$19,0)),IF(COUNTIF($N$5:$N85,$N85)&gt;ИНФА!$F$16,"поставщик перегружен","поставщик ещё не работает или продан"))))))</f>
        <v/>
      </c>
      <c r="Q85" s="44"/>
      <c r="R85" s="48" t="str">
        <f aca="false">IF($C85="","",IF($Q85="",1,IFERROR(INDEX(НАУКА!$K$5:$K$44,MATCH($Q85,НАУКА!$A$5:$A$44,0)),1)))</f>
        <v/>
      </c>
      <c r="S85" s="37" t="str">
        <f aca="false">IF($Q85="","",IFERROR(INDEX(НАУКА!$G$5:$G$44,MATCH($Q85,НАУКА!$A$5:$A$44,0)),""))</f>
        <v/>
      </c>
      <c r="T85" s="44"/>
      <c r="U85" s="44"/>
      <c r="V85" s="43"/>
      <c r="W85" s="37" t="n">
        <f aca="false">IF(OR($C85="",$D85=""),0,IF(AND($D85&lt;ИНФА!$F$5,OR($T85="",$T85&gt;=ИНФА!$F$5)),1,0))</f>
        <v>0</v>
      </c>
      <c r="X85" s="46" t="str">
        <f aca="false">IF($C85="","",INDEX(СОБЫТИЯ!$B$5:$K$8,MATCH($K85,СОБЫТИЯ!$A$5:$A$8,0),ИНФА!$F$5))</f>
        <v/>
      </c>
      <c r="Y85" s="42" t="str">
        <f aca="false">IF($C85="","",IF($W85=1,ROUND($L85*$O85*IF(AND($Q85&lt;&gt;"",$S85&lt;&gt;""),IF($S85&lt;ИНФА!$F$5,$R85,1),1)*$X85,0)-$M85+N($AF85)+N($AG85),0))</f>
        <v/>
      </c>
      <c r="Z85" s="38" t="str">
        <f aca="false">IF($C85="","",IF($T85="",INDEX(ИНФА!$M$5:$M$19,MATCH($C85,ИНФА!$I$5:$I$19,0)),0))</f>
        <v/>
      </c>
      <c r="AA85" s="38" t="str">
        <f aca="false">IF(OR($C85="",$T85=""),"",IF($V85&lt;&gt;"",$V85,INDEX(ИНФА!$N$5:$N$19,MATCH($C85,ИНФА!$I$5:$I$19,0))))</f>
        <v/>
      </c>
      <c r="AB85" s="37" t="str">
        <f aca="false">IF($C85="","",IF($T85&lt;&gt;"",IF($U85&lt;&gt;"","продано компании "&amp;$U85&amp;" в цикле "&amp;$T85,"продано Инфраструктуре в цикле "&amp;$T85),IF($D85&gt;=ИНФА!$F$5,"доход со следующего цикла","приносит доход")))</f>
        <v/>
      </c>
      <c r="AC85" s="47" t="str">
        <f aca="false">IF($C85="","",IF($F85="","",IF($E85="","укажите продавца; ",IF(OR($F85&lt;INDEX(ИНФА!$N$5:$N$19,MATCH($C85,ИНФА!$I$5:$I$19,0)),$F85&gt;INDEX(ИНФА!$M$5:$M$19,MATCH($C85,ИНФА!$I$5:$I$19,0))),"цена покупки вне коридора! ","")))&amp;IF($U85="","",IF(OR($V85="",$T85=""),"укажите цикл и цену продажи; ",IF(OR($V85&lt;INDEX(ИНФА!$N$5:$N$19,MATCH($C85,ИНФА!$I$5:$I$19,0)),$V85&gt;INDEX(ИНФА!$M$5:$M$19,MATCH($C85,ИНФА!$I$5:$I$19,0))),"цена продажи вне коридора! ","")))&amp;IF(AND($T85="",COUNTIFS($C$5:$C85,$C85,$T$5:$T85,"")&gt;INDEX(ИНФА!$Q$5:$Q$19,MATCH($C85,ИНФА!$I$5:$I$19,0))),"лотов нет! ","")&amp;IF(AND($E85&lt;&gt;"",$F85=""),"укажите цену сделки; ","")&amp;IF(AND(N($H85)&gt;0,OR($AD85="",$AD85="Профессия"),OR($H85&gt;ИНФА!$F$29,$I85&lt;INDEX(ИНФА!$N$5:$N$19,MATCH($C85,ИНФА!$I$5:$I$19,0))+ИНФА!$F$30)),"скидка больше лимита или цена ниже выкупа + 500! ","")&amp;IF($AE85="","",IF(IFERROR(INDEX($B$5:$B$204,MATCH($AE85,$A$5:$A$204,0))=$B85,TRUE()),"бизнес-пара — только со зданием другой компании; ",""))&amp;IF($Q85="","",IF(IFERROR(INDEX(НАУКА!$B$5:$B$44,MATCH($Q85,НАУКА!$A$5:$A$44,0))&lt;&gt;$B85,FALSE()),"патент другой компании — нужна лицензия или соглашение; ","")))</f>
        <v/>
      </c>
      <c r="AD85" s="44"/>
      <c r="AE85" s="44"/>
      <c r="AF85" s="38" t="str">
        <f aca="false">IF($C85="","",IF(AND($W85=1,OR($C85="Дом",$C85="Кафе")),ИНФА!$F$17*(COUNTIFS($B$5:$B85,$B85,$C$5:$C85,$C85,$W$5:$W85,1)&lt;=COUNTIFS($B$5:$B$204,$B85,$C$5:$C$204,"Парк",$W$5:$W$204,1)),0))</f>
        <v/>
      </c>
      <c r="AG85" s="38" t="str">
        <f aca="false">IF($C85="","",IF($W85=1,IF(OR(AND($AE85&lt;&gt;"",IFERROR(INDEX($W$5:$W$204,MATCH($AE85,$A$5:$A$204,0))=1,FALSE()),IFERROR(INDEX($B$5:$B$204,MATCH($AE85,$A$5:$A$204,0))&lt;&gt;$B85,FALSE())),COUNTIFS($AE$5:$AE$204,$A85,$W$5:$W$204,1,$B$5:$B$204,"&lt;&gt;"&amp;$B85)&gt;0),ИНФА!$F$31,0),0))</f>
        <v/>
      </c>
    </row>
    <row r="86" customFormat="false" ht="15" hidden="false" customHeight="false" outlineLevel="0" collapsed="false">
      <c r="A86" s="15" t="n">
        <v>82</v>
      </c>
      <c r="B86" s="44"/>
      <c r="C86" s="44"/>
      <c r="D86" s="44"/>
      <c r="E86" s="44"/>
      <c r="F86" s="43"/>
      <c r="G86" s="38" t="str">
        <f aca="false">IF($C86="","",IF($F86&lt;&gt;"",$F86,INDEX(ИНФА!$M$5:$M$19,MATCH($C86,ИНФА!$I$5:$I$19,0))))</f>
        <v/>
      </c>
      <c r="H86" s="43"/>
      <c r="I86" s="38" t="str">
        <f aca="false">IF($C86="","",G86-N(H86))</f>
        <v/>
      </c>
      <c r="J86" s="37" t="str">
        <f aca="false">IF($C86="","",INDEX(ИНФА!$J$5:$J$19,MATCH($C86,ИНФА!$I$5:$I$19,0)))</f>
        <v/>
      </c>
      <c r="K86" s="37" t="str">
        <f aca="false">IF($C86="","",INDEX(ИНФА!$K$5:$K$19,MATCH($C86,ИНФА!$I$5:$I$19,0)))</f>
        <v/>
      </c>
      <c r="L86" s="38" t="str">
        <f aca="false">IF($C86="","",INDEX(ИНФА!$O$5:$O$19,MATCH($C86,ИНФА!$I$5:$I$19,0)))</f>
        <v/>
      </c>
      <c r="M86" s="38" t="str">
        <f aca="false">IF($C86="","",INDEX(ИНФА!$P$5:$P$19,MATCH($C86,ИНФА!$I$5:$I$19,0)))</f>
        <v/>
      </c>
      <c r="N86" s="44"/>
      <c r="O86" s="48" t="n">
        <f aca="false">IF(OR($C86="",$N86=""),1,IF(AND($J86="Услуги",IFERROR(INDEX($C$5:$C$204,MATCH($N86,$A$5:$A$204,0))=INDEX(ИНФА!$L$5:$L$19,MATCH($C86,ИНФА!$I$5:$I$19,0)),FALSE()),IFERROR(INDEX($W$5:$W$204,MATCH($N86,$A$5:$A$204,0))=1,FALSE()),COUNTIF($N$5:$N86,$N86)&lt;=ИНФА!$F$16),1+ИНФА!$F$15,1))</f>
        <v>1</v>
      </c>
      <c r="P86" s="47" t="str">
        <f aca="false">IF($C86="","",IF($J86&lt;&gt;"Услуги","",IF($N86="","нет поставщика — нужен "&amp;INDEX(ИНФА!$L$5:$L$19,MATCH($C86,ИНФА!$I$5:$I$19,0)),IF($O86&gt;1,"✓ поставка работает (+50%)",IF(IFERROR(INDEX($C$5:$C$204,MATCH($N86,$A$5:$A$204,0))&lt;&gt;INDEX(ИНФА!$L$5:$L$19,MATCH($C86,ИНФА!$I$5:$I$19,0)),TRUE()),"не тот поставщик: нужен "&amp;INDEX(ИНФА!$L$5:$L$19,MATCH($C86,ИНФА!$I$5:$I$19,0)),IF(COUNTIF($N$5:$N86,$N86)&gt;ИНФА!$F$16,"поставщик перегружен","поставщик ещё не работает или продан"))))))</f>
        <v/>
      </c>
      <c r="Q86" s="44"/>
      <c r="R86" s="48" t="str">
        <f aca="false">IF($C86="","",IF($Q86="",1,IFERROR(INDEX(НАУКА!$K$5:$K$44,MATCH($Q86,НАУКА!$A$5:$A$44,0)),1)))</f>
        <v/>
      </c>
      <c r="S86" s="37" t="str">
        <f aca="false">IF($Q86="","",IFERROR(INDEX(НАУКА!$G$5:$G$44,MATCH($Q86,НАУКА!$A$5:$A$44,0)),""))</f>
        <v/>
      </c>
      <c r="T86" s="44"/>
      <c r="U86" s="44"/>
      <c r="V86" s="43"/>
      <c r="W86" s="37" t="n">
        <f aca="false">IF(OR($C86="",$D86=""),0,IF(AND($D86&lt;ИНФА!$F$5,OR($T86="",$T86&gt;=ИНФА!$F$5)),1,0))</f>
        <v>0</v>
      </c>
      <c r="X86" s="46" t="str">
        <f aca="false">IF($C86="","",INDEX(СОБЫТИЯ!$B$5:$K$8,MATCH($K86,СОБЫТИЯ!$A$5:$A$8,0),ИНФА!$F$5))</f>
        <v/>
      </c>
      <c r="Y86" s="42" t="str">
        <f aca="false">IF($C86="","",IF($W86=1,ROUND($L86*$O86*IF(AND($Q86&lt;&gt;"",$S86&lt;&gt;""),IF($S86&lt;ИНФА!$F$5,$R86,1),1)*$X86,0)-$M86+N($AF86)+N($AG86),0))</f>
        <v/>
      </c>
      <c r="Z86" s="38" t="str">
        <f aca="false">IF($C86="","",IF($T86="",INDEX(ИНФА!$M$5:$M$19,MATCH($C86,ИНФА!$I$5:$I$19,0)),0))</f>
        <v/>
      </c>
      <c r="AA86" s="38" t="str">
        <f aca="false">IF(OR($C86="",$T86=""),"",IF($V86&lt;&gt;"",$V86,INDEX(ИНФА!$N$5:$N$19,MATCH($C86,ИНФА!$I$5:$I$19,0))))</f>
        <v/>
      </c>
      <c r="AB86" s="37" t="str">
        <f aca="false">IF($C86="","",IF($T86&lt;&gt;"",IF($U86&lt;&gt;"","продано компании "&amp;$U86&amp;" в цикле "&amp;$T86,"продано Инфраструктуре в цикле "&amp;$T86),IF($D86&gt;=ИНФА!$F$5,"доход со следующего цикла","приносит доход")))</f>
        <v/>
      </c>
      <c r="AC86" s="47" t="str">
        <f aca="false">IF($C86="","",IF($F86="","",IF($E86="","укажите продавца; ",IF(OR($F86&lt;INDEX(ИНФА!$N$5:$N$19,MATCH($C86,ИНФА!$I$5:$I$19,0)),$F86&gt;INDEX(ИНФА!$M$5:$M$19,MATCH($C86,ИНФА!$I$5:$I$19,0))),"цена покупки вне коридора! ","")))&amp;IF($U86="","",IF(OR($V86="",$T86=""),"укажите цикл и цену продажи; ",IF(OR($V86&lt;INDEX(ИНФА!$N$5:$N$19,MATCH($C86,ИНФА!$I$5:$I$19,0)),$V86&gt;INDEX(ИНФА!$M$5:$M$19,MATCH($C86,ИНФА!$I$5:$I$19,0))),"цена продажи вне коридора! ","")))&amp;IF(AND($T86="",COUNTIFS($C$5:$C86,$C86,$T$5:$T86,"")&gt;INDEX(ИНФА!$Q$5:$Q$19,MATCH($C86,ИНФА!$I$5:$I$19,0))),"лотов нет! ","")&amp;IF(AND($E86&lt;&gt;"",$F86=""),"укажите цену сделки; ","")&amp;IF(AND(N($H86)&gt;0,OR($AD86="",$AD86="Профессия"),OR($H86&gt;ИНФА!$F$29,$I86&lt;INDEX(ИНФА!$N$5:$N$19,MATCH($C86,ИНФА!$I$5:$I$19,0))+ИНФА!$F$30)),"скидка больше лимита или цена ниже выкупа + 500! ","")&amp;IF($AE86="","",IF(IFERROR(INDEX($B$5:$B$204,MATCH($AE86,$A$5:$A$204,0))=$B86,TRUE()),"бизнес-пара — только со зданием другой компании; ",""))&amp;IF($Q86="","",IF(IFERROR(INDEX(НАУКА!$B$5:$B$44,MATCH($Q86,НАУКА!$A$5:$A$44,0))&lt;&gt;$B86,FALSE()),"патент другой компании — нужна лицензия или соглашение; ","")))</f>
        <v/>
      </c>
      <c r="AD86" s="44"/>
      <c r="AE86" s="44"/>
      <c r="AF86" s="38" t="str">
        <f aca="false">IF($C86="","",IF(AND($W86=1,OR($C86="Дом",$C86="Кафе")),ИНФА!$F$17*(COUNTIFS($B$5:$B86,$B86,$C$5:$C86,$C86,$W$5:$W86,1)&lt;=COUNTIFS($B$5:$B$204,$B86,$C$5:$C$204,"Парк",$W$5:$W$204,1)),0))</f>
        <v/>
      </c>
      <c r="AG86" s="38" t="str">
        <f aca="false">IF($C86="","",IF($W86=1,IF(OR(AND($AE86&lt;&gt;"",IFERROR(INDEX($W$5:$W$204,MATCH($AE86,$A$5:$A$204,0))=1,FALSE()),IFERROR(INDEX($B$5:$B$204,MATCH($AE86,$A$5:$A$204,0))&lt;&gt;$B86,FALSE())),COUNTIFS($AE$5:$AE$204,$A86,$W$5:$W$204,1,$B$5:$B$204,"&lt;&gt;"&amp;$B86)&gt;0),ИНФА!$F$31,0),0))</f>
        <v/>
      </c>
    </row>
    <row r="87" customFormat="false" ht="15" hidden="false" customHeight="false" outlineLevel="0" collapsed="false">
      <c r="A87" s="15" t="n">
        <v>83</v>
      </c>
      <c r="B87" s="44"/>
      <c r="C87" s="44"/>
      <c r="D87" s="44"/>
      <c r="E87" s="44"/>
      <c r="F87" s="43"/>
      <c r="G87" s="38" t="str">
        <f aca="false">IF($C87="","",IF($F87&lt;&gt;"",$F87,INDEX(ИНФА!$M$5:$M$19,MATCH($C87,ИНФА!$I$5:$I$19,0))))</f>
        <v/>
      </c>
      <c r="H87" s="43"/>
      <c r="I87" s="38" t="str">
        <f aca="false">IF($C87="","",G87-N(H87))</f>
        <v/>
      </c>
      <c r="J87" s="37" t="str">
        <f aca="false">IF($C87="","",INDEX(ИНФА!$J$5:$J$19,MATCH($C87,ИНФА!$I$5:$I$19,0)))</f>
        <v/>
      </c>
      <c r="K87" s="37" t="str">
        <f aca="false">IF($C87="","",INDEX(ИНФА!$K$5:$K$19,MATCH($C87,ИНФА!$I$5:$I$19,0)))</f>
        <v/>
      </c>
      <c r="L87" s="38" t="str">
        <f aca="false">IF($C87="","",INDEX(ИНФА!$O$5:$O$19,MATCH($C87,ИНФА!$I$5:$I$19,0)))</f>
        <v/>
      </c>
      <c r="M87" s="38" t="str">
        <f aca="false">IF($C87="","",INDEX(ИНФА!$P$5:$P$19,MATCH($C87,ИНФА!$I$5:$I$19,0)))</f>
        <v/>
      </c>
      <c r="N87" s="44"/>
      <c r="O87" s="48" t="n">
        <f aca="false">IF(OR($C87="",$N87=""),1,IF(AND($J87="Услуги",IFERROR(INDEX($C$5:$C$204,MATCH($N87,$A$5:$A$204,0))=INDEX(ИНФА!$L$5:$L$19,MATCH($C87,ИНФА!$I$5:$I$19,0)),FALSE()),IFERROR(INDEX($W$5:$W$204,MATCH($N87,$A$5:$A$204,0))=1,FALSE()),COUNTIF($N$5:$N87,$N87)&lt;=ИНФА!$F$16),1+ИНФА!$F$15,1))</f>
        <v>1</v>
      </c>
      <c r="P87" s="47" t="str">
        <f aca="false">IF($C87="","",IF($J87&lt;&gt;"Услуги","",IF($N87="","нет поставщика — нужен "&amp;INDEX(ИНФА!$L$5:$L$19,MATCH($C87,ИНФА!$I$5:$I$19,0)),IF($O87&gt;1,"✓ поставка работает (+50%)",IF(IFERROR(INDEX($C$5:$C$204,MATCH($N87,$A$5:$A$204,0))&lt;&gt;INDEX(ИНФА!$L$5:$L$19,MATCH($C87,ИНФА!$I$5:$I$19,0)),TRUE()),"не тот поставщик: нужен "&amp;INDEX(ИНФА!$L$5:$L$19,MATCH($C87,ИНФА!$I$5:$I$19,0)),IF(COUNTIF($N$5:$N87,$N87)&gt;ИНФА!$F$16,"поставщик перегружен","поставщик ещё не работает или продан"))))))</f>
        <v/>
      </c>
      <c r="Q87" s="44"/>
      <c r="R87" s="48" t="str">
        <f aca="false">IF($C87="","",IF($Q87="",1,IFERROR(INDEX(НАУКА!$K$5:$K$44,MATCH($Q87,НАУКА!$A$5:$A$44,0)),1)))</f>
        <v/>
      </c>
      <c r="S87" s="37" t="str">
        <f aca="false">IF($Q87="","",IFERROR(INDEX(НАУКА!$G$5:$G$44,MATCH($Q87,НАУКА!$A$5:$A$44,0)),""))</f>
        <v/>
      </c>
      <c r="T87" s="44"/>
      <c r="U87" s="44"/>
      <c r="V87" s="43"/>
      <c r="W87" s="37" t="n">
        <f aca="false">IF(OR($C87="",$D87=""),0,IF(AND($D87&lt;ИНФА!$F$5,OR($T87="",$T87&gt;=ИНФА!$F$5)),1,0))</f>
        <v>0</v>
      </c>
      <c r="X87" s="46" t="str">
        <f aca="false">IF($C87="","",INDEX(СОБЫТИЯ!$B$5:$K$8,MATCH($K87,СОБЫТИЯ!$A$5:$A$8,0),ИНФА!$F$5))</f>
        <v/>
      </c>
      <c r="Y87" s="42" t="str">
        <f aca="false">IF($C87="","",IF($W87=1,ROUND($L87*$O87*IF(AND($Q87&lt;&gt;"",$S87&lt;&gt;""),IF($S87&lt;ИНФА!$F$5,$R87,1),1)*$X87,0)-$M87+N($AF87)+N($AG87),0))</f>
        <v/>
      </c>
      <c r="Z87" s="38" t="str">
        <f aca="false">IF($C87="","",IF($T87="",INDEX(ИНФА!$M$5:$M$19,MATCH($C87,ИНФА!$I$5:$I$19,0)),0))</f>
        <v/>
      </c>
      <c r="AA87" s="38" t="str">
        <f aca="false">IF(OR($C87="",$T87=""),"",IF($V87&lt;&gt;"",$V87,INDEX(ИНФА!$N$5:$N$19,MATCH($C87,ИНФА!$I$5:$I$19,0))))</f>
        <v/>
      </c>
      <c r="AB87" s="37" t="str">
        <f aca="false">IF($C87="","",IF($T87&lt;&gt;"",IF($U87&lt;&gt;"","продано компании "&amp;$U87&amp;" в цикле "&amp;$T87,"продано Инфраструктуре в цикле "&amp;$T87),IF($D87&gt;=ИНФА!$F$5,"доход со следующего цикла","приносит доход")))</f>
        <v/>
      </c>
      <c r="AC87" s="47" t="str">
        <f aca="false">IF($C87="","",IF($F87="","",IF($E87="","укажите продавца; ",IF(OR($F87&lt;INDEX(ИНФА!$N$5:$N$19,MATCH($C87,ИНФА!$I$5:$I$19,0)),$F87&gt;INDEX(ИНФА!$M$5:$M$19,MATCH($C87,ИНФА!$I$5:$I$19,0))),"цена покупки вне коридора! ","")))&amp;IF($U87="","",IF(OR($V87="",$T87=""),"укажите цикл и цену продажи; ",IF(OR($V87&lt;INDEX(ИНФА!$N$5:$N$19,MATCH($C87,ИНФА!$I$5:$I$19,0)),$V87&gt;INDEX(ИНФА!$M$5:$M$19,MATCH($C87,ИНФА!$I$5:$I$19,0))),"цена продажи вне коридора! ","")))&amp;IF(AND($T87="",COUNTIFS($C$5:$C87,$C87,$T$5:$T87,"")&gt;INDEX(ИНФА!$Q$5:$Q$19,MATCH($C87,ИНФА!$I$5:$I$19,0))),"лотов нет! ","")&amp;IF(AND($E87&lt;&gt;"",$F87=""),"укажите цену сделки; ","")&amp;IF(AND(N($H87)&gt;0,OR($AD87="",$AD87="Профессия"),OR($H87&gt;ИНФА!$F$29,$I87&lt;INDEX(ИНФА!$N$5:$N$19,MATCH($C87,ИНФА!$I$5:$I$19,0))+ИНФА!$F$30)),"скидка больше лимита или цена ниже выкупа + 500! ","")&amp;IF($AE87="","",IF(IFERROR(INDEX($B$5:$B$204,MATCH($AE87,$A$5:$A$204,0))=$B87,TRUE()),"бизнес-пара — только со зданием другой компании; ",""))&amp;IF($Q87="","",IF(IFERROR(INDEX(НАУКА!$B$5:$B$44,MATCH($Q87,НАУКА!$A$5:$A$44,0))&lt;&gt;$B87,FALSE()),"патент другой компании — нужна лицензия или соглашение; ","")))</f>
        <v/>
      </c>
      <c r="AD87" s="44"/>
      <c r="AE87" s="44"/>
      <c r="AF87" s="38" t="str">
        <f aca="false">IF($C87="","",IF(AND($W87=1,OR($C87="Дом",$C87="Кафе")),ИНФА!$F$17*(COUNTIFS($B$5:$B87,$B87,$C$5:$C87,$C87,$W$5:$W87,1)&lt;=COUNTIFS($B$5:$B$204,$B87,$C$5:$C$204,"Парк",$W$5:$W$204,1)),0))</f>
        <v/>
      </c>
      <c r="AG87" s="38" t="str">
        <f aca="false">IF($C87="","",IF($W87=1,IF(OR(AND($AE87&lt;&gt;"",IFERROR(INDEX($W$5:$W$204,MATCH($AE87,$A$5:$A$204,0))=1,FALSE()),IFERROR(INDEX($B$5:$B$204,MATCH($AE87,$A$5:$A$204,0))&lt;&gt;$B87,FALSE())),COUNTIFS($AE$5:$AE$204,$A87,$W$5:$W$204,1,$B$5:$B$204,"&lt;&gt;"&amp;$B87)&gt;0),ИНФА!$F$31,0),0))</f>
        <v/>
      </c>
    </row>
    <row r="88" customFormat="false" ht="15" hidden="false" customHeight="false" outlineLevel="0" collapsed="false">
      <c r="A88" s="15" t="n">
        <v>84</v>
      </c>
      <c r="B88" s="44"/>
      <c r="C88" s="44"/>
      <c r="D88" s="44"/>
      <c r="E88" s="44"/>
      <c r="F88" s="43"/>
      <c r="G88" s="38" t="str">
        <f aca="false">IF($C88="","",IF($F88&lt;&gt;"",$F88,INDEX(ИНФА!$M$5:$M$19,MATCH($C88,ИНФА!$I$5:$I$19,0))))</f>
        <v/>
      </c>
      <c r="H88" s="43"/>
      <c r="I88" s="38" t="str">
        <f aca="false">IF($C88="","",G88-N(H88))</f>
        <v/>
      </c>
      <c r="J88" s="37" t="str">
        <f aca="false">IF($C88="","",INDEX(ИНФА!$J$5:$J$19,MATCH($C88,ИНФА!$I$5:$I$19,0)))</f>
        <v/>
      </c>
      <c r="K88" s="37" t="str">
        <f aca="false">IF($C88="","",INDEX(ИНФА!$K$5:$K$19,MATCH($C88,ИНФА!$I$5:$I$19,0)))</f>
        <v/>
      </c>
      <c r="L88" s="38" t="str">
        <f aca="false">IF($C88="","",INDEX(ИНФА!$O$5:$O$19,MATCH($C88,ИНФА!$I$5:$I$19,0)))</f>
        <v/>
      </c>
      <c r="M88" s="38" t="str">
        <f aca="false">IF($C88="","",INDEX(ИНФА!$P$5:$P$19,MATCH($C88,ИНФА!$I$5:$I$19,0)))</f>
        <v/>
      </c>
      <c r="N88" s="44"/>
      <c r="O88" s="48" t="n">
        <f aca="false">IF(OR($C88="",$N88=""),1,IF(AND($J88="Услуги",IFERROR(INDEX($C$5:$C$204,MATCH($N88,$A$5:$A$204,0))=INDEX(ИНФА!$L$5:$L$19,MATCH($C88,ИНФА!$I$5:$I$19,0)),FALSE()),IFERROR(INDEX($W$5:$W$204,MATCH($N88,$A$5:$A$204,0))=1,FALSE()),COUNTIF($N$5:$N88,$N88)&lt;=ИНФА!$F$16),1+ИНФА!$F$15,1))</f>
        <v>1</v>
      </c>
      <c r="P88" s="47" t="str">
        <f aca="false">IF($C88="","",IF($J88&lt;&gt;"Услуги","",IF($N88="","нет поставщика — нужен "&amp;INDEX(ИНФА!$L$5:$L$19,MATCH($C88,ИНФА!$I$5:$I$19,0)),IF($O88&gt;1,"✓ поставка работает (+50%)",IF(IFERROR(INDEX($C$5:$C$204,MATCH($N88,$A$5:$A$204,0))&lt;&gt;INDEX(ИНФА!$L$5:$L$19,MATCH($C88,ИНФА!$I$5:$I$19,0)),TRUE()),"не тот поставщик: нужен "&amp;INDEX(ИНФА!$L$5:$L$19,MATCH($C88,ИНФА!$I$5:$I$19,0)),IF(COUNTIF($N$5:$N88,$N88)&gt;ИНФА!$F$16,"поставщик перегружен","поставщик ещё не работает или продан"))))))</f>
        <v/>
      </c>
      <c r="Q88" s="44"/>
      <c r="R88" s="48" t="str">
        <f aca="false">IF($C88="","",IF($Q88="",1,IFERROR(INDEX(НАУКА!$K$5:$K$44,MATCH($Q88,НАУКА!$A$5:$A$44,0)),1)))</f>
        <v/>
      </c>
      <c r="S88" s="37" t="str">
        <f aca="false">IF($Q88="","",IFERROR(INDEX(НАУКА!$G$5:$G$44,MATCH($Q88,НАУКА!$A$5:$A$44,0)),""))</f>
        <v/>
      </c>
      <c r="T88" s="44"/>
      <c r="U88" s="44"/>
      <c r="V88" s="43"/>
      <c r="W88" s="37" t="n">
        <f aca="false">IF(OR($C88="",$D88=""),0,IF(AND($D88&lt;ИНФА!$F$5,OR($T88="",$T88&gt;=ИНФА!$F$5)),1,0))</f>
        <v>0</v>
      </c>
      <c r="X88" s="46" t="str">
        <f aca="false">IF($C88="","",INDEX(СОБЫТИЯ!$B$5:$K$8,MATCH($K88,СОБЫТИЯ!$A$5:$A$8,0),ИНФА!$F$5))</f>
        <v/>
      </c>
      <c r="Y88" s="42" t="str">
        <f aca="false">IF($C88="","",IF($W88=1,ROUND($L88*$O88*IF(AND($Q88&lt;&gt;"",$S88&lt;&gt;""),IF($S88&lt;ИНФА!$F$5,$R88,1),1)*$X88,0)-$M88+N($AF88)+N($AG88),0))</f>
        <v/>
      </c>
      <c r="Z88" s="38" t="str">
        <f aca="false">IF($C88="","",IF($T88="",INDEX(ИНФА!$M$5:$M$19,MATCH($C88,ИНФА!$I$5:$I$19,0)),0))</f>
        <v/>
      </c>
      <c r="AA88" s="38" t="str">
        <f aca="false">IF(OR($C88="",$T88=""),"",IF($V88&lt;&gt;"",$V88,INDEX(ИНФА!$N$5:$N$19,MATCH($C88,ИНФА!$I$5:$I$19,0))))</f>
        <v/>
      </c>
      <c r="AB88" s="37" t="str">
        <f aca="false">IF($C88="","",IF($T88&lt;&gt;"",IF($U88&lt;&gt;"","продано компании "&amp;$U88&amp;" в цикле "&amp;$T88,"продано Инфраструктуре в цикле "&amp;$T88),IF($D88&gt;=ИНФА!$F$5,"доход со следующего цикла","приносит доход")))</f>
        <v/>
      </c>
      <c r="AC88" s="47" t="str">
        <f aca="false">IF($C88="","",IF($F88="","",IF($E88="","укажите продавца; ",IF(OR($F88&lt;INDEX(ИНФА!$N$5:$N$19,MATCH($C88,ИНФА!$I$5:$I$19,0)),$F88&gt;INDEX(ИНФА!$M$5:$M$19,MATCH($C88,ИНФА!$I$5:$I$19,0))),"цена покупки вне коридора! ","")))&amp;IF($U88="","",IF(OR($V88="",$T88=""),"укажите цикл и цену продажи; ",IF(OR($V88&lt;INDEX(ИНФА!$N$5:$N$19,MATCH($C88,ИНФА!$I$5:$I$19,0)),$V88&gt;INDEX(ИНФА!$M$5:$M$19,MATCH($C88,ИНФА!$I$5:$I$19,0))),"цена продажи вне коридора! ","")))&amp;IF(AND($T88="",COUNTIFS($C$5:$C88,$C88,$T$5:$T88,"")&gt;INDEX(ИНФА!$Q$5:$Q$19,MATCH($C88,ИНФА!$I$5:$I$19,0))),"лотов нет! ","")&amp;IF(AND($E88&lt;&gt;"",$F88=""),"укажите цену сделки; ","")&amp;IF(AND(N($H88)&gt;0,OR($AD88="",$AD88="Профессия"),OR($H88&gt;ИНФА!$F$29,$I88&lt;INDEX(ИНФА!$N$5:$N$19,MATCH($C88,ИНФА!$I$5:$I$19,0))+ИНФА!$F$30)),"скидка больше лимита или цена ниже выкупа + 500! ","")&amp;IF($AE88="","",IF(IFERROR(INDEX($B$5:$B$204,MATCH($AE88,$A$5:$A$204,0))=$B88,TRUE()),"бизнес-пара — только со зданием другой компании; ",""))&amp;IF($Q88="","",IF(IFERROR(INDEX(НАУКА!$B$5:$B$44,MATCH($Q88,НАУКА!$A$5:$A$44,0))&lt;&gt;$B88,FALSE()),"патент другой компании — нужна лицензия или соглашение; ","")))</f>
        <v/>
      </c>
      <c r="AD88" s="44"/>
      <c r="AE88" s="44"/>
      <c r="AF88" s="38" t="str">
        <f aca="false">IF($C88="","",IF(AND($W88=1,OR($C88="Дом",$C88="Кафе")),ИНФА!$F$17*(COUNTIFS($B$5:$B88,$B88,$C$5:$C88,$C88,$W$5:$W88,1)&lt;=COUNTIFS($B$5:$B$204,$B88,$C$5:$C$204,"Парк",$W$5:$W$204,1)),0))</f>
        <v/>
      </c>
      <c r="AG88" s="38" t="str">
        <f aca="false">IF($C88="","",IF($W88=1,IF(OR(AND($AE88&lt;&gt;"",IFERROR(INDEX($W$5:$W$204,MATCH($AE88,$A$5:$A$204,0))=1,FALSE()),IFERROR(INDEX($B$5:$B$204,MATCH($AE88,$A$5:$A$204,0))&lt;&gt;$B88,FALSE())),COUNTIFS($AE$5:$AE$204,$A88,$W$5:$W$204,1,$B$5:$B$204,"&lt;&gt;"&amp;$B88)&gt;0),ИНФА!$F$31,0),0))</f>
        <v/>
      </c>
    </row>
    <row r="89" customFormat="false" ht="15" hidden="false" customHeight="false" outlineLevel="0" collapsed="false">
      <c r="A89" s="15" t="n">
        <v>85</v>
      </c>
      <c r="B89" s="44"/>
      <c r="C89" s="44"/>
      <c r="D89" s="44"/>
      <c r="E89" s="44"/>
      <c r="F89" s="43"/>
      <c r="G89" s="38" t="str">
        <f aca="false">IF($C89="","",IF($F89&lt;&gt;"",$F89,INDEX(ИНФА!$M$5:$M$19,MATCH($C89,ИНФА!$I$5:$I$19,0))))</f>
        <v/>
      </c>
      <c r="H89" s="43"/>
      <c r="I89" s="38" t="str">
        <f aca="false">IF($C89="","",G89-N(H89))</f>
        <v/>
      </c>
      <c r="J89" s="37" t="str">
        <f aca="false">IF($C89="","",INDEX(ИНФА!$J$5:$J$19,MATCH($C89,ИНФА!$I$5:$I$19,0)))</f>
        <v/>
      </c>
      <c r="K89" s="37" t="str">
        <f aca="false">IF($C89="","",INDEX(ИНФА!$K$5:$K$19,MATCH($C89,ИНФА!$I$5:$I$19,0)))</f>
        <v/>
      </c>
      <c r="L89" s="38" t="str">
        <f aca="false">IF($C89="","",INDEX(ИНФА!$O$5:$O$19,MATCH($C89,ИНФА!$I$5:$I$19,0)))</f>
        <v/>
      </c>
      <c r="M89" s="38" t="str">
        <f aca="false">IF($C89="","",INDEX(ИНФА!$P$5:$P$19,MATCH($C89,ИНФА!$I$5:$I$19,0)))</f>
        <v/>
      </c>
      <c r="N89" s="44"/>
      <c r="O89" s="48" t="n">
        <f aca="false">IF(OR($C89="",$N89=""),1,IF(AND($J89="Услуги",IFERROR(INDEX($C$5:$C$204,MATCH($N89,$A$5:$A$204,0))=INDEX(ИНФА!$L$5:$L$19,MATCH($C89,ИНФА!$I$5:$I$19,0)),FALSE()),IFERROR(INDEX($W$5:$W$204,MATCH($N89,$A$5:$A$204,0))=1,FALSE()),COUNTIF($N$5:$N89,$N89)&lt;=ИНФА!$F$16),1+ИНФА!$F$15,1))</f>
        <v>1</v>
      </c>
      <c r="P89" s="47" t="str">
        <f aca="false">IF($C89="","",IF($J89&lt;&gt;"Услуги","",IF($N89="","нет поставщика — нужен "&amp;INDEX(ИНФА!$L$5:$L$19,MATCH($C89,ИНФА!$I$5:$I$19,0)),IF($O89&gt;1,"✓ поставка работает (+50%)",IF(IFERROR(INDEX($C$5:$C$204,MATCH($N89,$A$5:$A$204,0))&lt;&gt;INDEX(ИНФА!$L$5:$L$19,MATCH($C89,ИНФА!$I$5:$I$19,0)),TRUE()),"не тот поставщик: нужен "&amp;INDEX(ИНФА!$L$5:$L$19,MATCH($C89,ИНФА!$I$5:$I$19,0)),IF(COUNTIF($N$5:$N89,$N89)&gt;ИНФА!$F$16,"поставщик перегружен","поставщик ещё не работает или продан"))))))</f>
        <v/>
      </c>
      <c r="Q89" s="44"/>
      <c r="R89" s="48" t="str">
        <f aca="false">IF($C89="","",IF($Q89="",1,IFERROR(INDEX(НАУКА!$K$5:$K$44,MATCH($Q89,НАУКА!$A$5:$A$44,0)),1)))</f>
        <v/>
      </c>
      <c r="S89" s="37" t="str">
        <f aca="false">IF($Q89="","",IFERROR(INDEX(НАУКА!$G$5:$G$44,MATCH($Q89,НАУКА!$A$5:$A$44,0)),""))</f>
        <v/>
      </c>
      <c r="T89" s="44"/>
      <c r="U89" s="44"/>
      <c r="V89" s="43"/>
      <c r="W89" s="37" t="n">
        <f aca="false">IF(OR($C89="",$D89=""),0,IF(AND($D89&lt;ИНФА!$F$5,OR($T89="",$T89&gt;=ИНФА!$F$5)),1,0))</f>
        <v>0</v>
      </c>
      <c r="X89" s="46" t="str">
        <f aca="false">IF($C89="","",INDEX(СОБЫТИЯ!$B$5:$K$8,MATCH($K89,СОБЫТИЯ!$A$5:$A$8,0),ИНФА!$F$5))</f>
        <v/>
      </c>
      <c r="Y89" s="42" t="str">
        <f aca="false">IF($C89="","",IF($W89=1,ROUND($L89*$O89*IF(AND($Q89&lt;&gt;"",$S89&lt;&gt;""),IF($S89&lt;ИНФА!$F$5,$R89,1),1)*$X89,0)-$M89+N($AF89)+N($AG89),0))</f>
        <v/>
      </c>
      <c r="Z89" s="38" t="str">
        <f aca="false">IF($C89="","",IF($T89="",INDEX(ИНФА!$M$5:$M$19,MATCH($C89,ИНФА!$I$5:$I$19,0)),0))</f>
        <v/>
      </c>
      <c r="AA89" s="38" t="str">
        <f aca="false">IF(OR($C89="",$T89=""),"",IF($V89&lt;&gt;"",$V89,INDEX(ИНФА!$N$5:$N$19,MATCH($C89,ИНФА!$I$5:$I$19,0))))</f>
        <v/>
      </c>
      <c r="AB89" s="37" t="str">
        <f aca="false">IF($C89="","",IF($T89&lt;&gt;"",IF($U89&lt;&gt;"","продано компании "&amp;$U89&amp;" в цикле "&amp;$T89,"продано Инфраструктуре в цикле "&amp;$T89),IF($D89&gt;=ИНФА!$F$5,"доход со следующего цикла","приносит доход")))</f>
        <v/>
      </c>
      <c r="AC89" s="47" t="str">
        <f aca="false">IF($C89="","",IF($F89="","",IF($E89="","укажите продавца; ",IF(OR($F89&lt;INDEX(ИНФА!$N$5:$N$19,MATCH($C89,ИНФА!$I$5:$I$19,0)),$F89&gt;INDEX(ИНФА!$M$5:$M$19,MATCH($C89,ИНФА!$I$5:$I$19,0))),"цена покупки вне коридора! ","")))&amp;IF($U89="","",IF(OR($V89="",$T89=""),"укажите цикл и цену продажи; ",IF(OR($V89&lt;INDEX(ИНФА!$N$5:$N$19,MATCH($C89,ИНФА!$I$5:$I$19,0)),$V89&gt;INDEX(ИНФА!$M$5:$M$19,MATCH($C89,ИНФА!$I$5:$I$19,0))),"цена продажи вне коридора! ","")))&amp;IF(AND($T89="",COUNTIFS($C$5:$C89,$C89,$T$5:$T89,"")&gt;INDEX(ИНФА!$Q$5:$Q$19,MATCH($C89,ИНФА!$I$5:$I$19,0))),"лотов нет! ","")&amp;IF(AND($E89&lt;&gt;"",$F89=""),"укажите цену сделки; ","")&amp;IF(AND(N($H89)&gt;0,OR($AD89="",$AD89="Профессия"),OR($H89&gt;ИНФА!$F$29,$I89&lt;INDEX(ИНФА!$N$5:$N$19,MATCH($C89,ИНФА!$I$5:$I$19,0))+ИНФА!$F$30)),"скидка больше лимита или цена ниже выкупа + 500! ","")&amp;IF($AE89="","",IF(IFERROR(INDEX($B$5:$B$204,MATCH($AE89,$A$5:$A$204,0))=$B89,TRUE()),"бизнес-пара — только со зданием другой компании; ",""))&amp;IF($Q89="","",IF(IFERROR(INDEX(НАУКА!$B$5:$B$44,MATCH($Q89,НАУКА!$A$5:$A$44,0))&lt;&gt;$B89,FALSE()),"патент другой компании — нужна лицензия или соглашение; ","")))</f>
        <v/>
      </c>
      <c r="AD89" s="44"/>
      <c r="AE89" s="44"/>
      <c r="AF89" s="38" t="str">
        <f aca="false">IF($C89="","",IF(AND($W89=1,OR($C89="Дом",$C89="Кафе")),ИНФА!$F$17*(COUNTIFS($B$5:$B89,$B89,$C$5:$C89,$C89,$W$5:$W89,1)&lt;=COUNTIFS($B$5:$B$204,$B89,$C$5:$C$204,"Парк",$W$5:$W$204,1)),0))</f>
        <v/>
      </c>
      <c r="AG89" s="38" t="str">
        <f aca="false">IF($C89="","",IF($W89=1,IF(OR(AND($AE89&lt;&gt;"",IFERROR(INDEX($W$5:$W$204,MATCH($AE89,$A$5:$A$204,0))=1,FALSE()),IFERROR(INDEX($B$5:$B$204,MATCH($AE89,$A$5:$A$204,0))&lt;&gt;$B89,FALSE())),COUNTIFS($AE$5:$AE$204,$A89,$W$5:$W$204,1,$B$5:$B$204,"&lt;&gt;"&amp;$B89)&gt;0),ИНФА!$F$31,0),0))</f>
        <v/>
      </c>
    </row>
    <row r="90" customFormat="false" ht="15" hidden="false" customHeight="false" outlineLevel="0" collapsed="false">
      <c r="A90" s="15" t="n">
        <v>86</v>
      </c>
      <c r="B90" s="44"/>
      <c r="C90" s="44"/>
      <c r="D90" s="44"/>
      <c r="E90" s="44"/>
      <c r="F90" s="43"/>
      <c r="G90" s="38" t="str">
        <f aca="false">IF($C90="","",IF($F90&lt;&gt;"",$F90,INDEX(ИНФА!$M$5:$M$19,MATCH($C90,ИНФА!$I$5:$I$19,0))))</f>
        <v/>
      </c>
      <c r="H90" s="43"/>
      <c r="I90" s="38" t="str">
        <f aca="false">IF($C90="","",G90-N(H90))</f>
        <v/>
      </c>
      <c r="J90" s="37" t="str">
        <f aca="false">IF($C90="","",INDEX(ИНФА!$J$5:$J$19,MATCH($C90,ИНФА!$I$5:$I$19,0)))</f>
        <v/>
      </c>
      <c r="K90" s="37" t="str">
        <f aca="false">IF($C90="","",INDEX(ИНФА!$K$5:$K$19,MATCH($C90,ИНФА!$I$5:$I$19,0)))</f>
        <v/>
      </c>
      <c r="L90" s="38" t="str">
        <f aca="false">IF($C90="","",INDEX(ИНФА!$O$5:$O$19,MATCH($C90,ИНФА!$I$5:$I$19,0)))</f>
        <v/>
      </c>
      <c r="M90" s="38" t="str">
        <f aca="false">IF($C90="","",INDEX(ИНФА!$P$5:$P$19,MATCH($C90,ИНФА!$I$5:$I$19,0)))</f>
        <v/>
      </c>
      <c r="N90" s="44"/>
      <c r="O90" s="48" t="n">
        <f aca="false">IF(OR($C90="",$N90=""),1,IF(AND($J90="Услуги",IFERROR(INDEX($C$5:$C$204,MATCH($N90,$A$5:$A$204,0))=INDEX(ИНФА!$L$5:$L$19,MATCH($C90,ИНФА!$I$5:$I$19,0)),FALSE()),IFERROR(INDEX($W$5:$W$204,MATCH($N90,$A$5:$A$204,0))=1,FALSE()),COUNTIF($N$5:$N90,$N90)&lt;=ИНФА!$F$16),1+ИНФА!$F$15,1))</f>
        <v>1</v>
      </c>
      <c r="P90" s="47" t="str">
        <f aca="false">IF($C90="","",IF($J90&lt;&gt;"Услуги","",IF($N90="","нет поставщика — нужен "&amp;INDEX(ИНФА!$L$5:$L$19,MATCH($C90,ИНФА!$I$5:$I$19,0)),IF($O90&gt;1,"✓ поставка работает (+50%)",IF(IFERROR(INDEX($C$5:$C$204,MATCH($N90,$A$5:$A$204,0))&lt;&gt;INDEX(ИНФА!$L$5:$L$19,MATCH($C90,ИНФА!$I$5:$I$19,0)),TRUE()),"не тот поставщик: нужен "&amp;INDEX(ИНФА!$L$5:$L$19,MATCH($C90,ИНФА!$I$5:$I$19,0)),IF(COUNTIF($N$5:$N90,$N90)&gt;ИНФА!$F$16,"поставщик перегружен","поставщик ещё не работает или продан"))))))</f>
        <v/>
      </c>
      <c r="Q90" s="44"/>
      <c r="R90" s="48" t="str">
        <f aca="false">IF($C90="","",IF($Q90="",1,IFERROR(INDEX(НАУКА!$K$5:$K$44,MATCH($Q90,НАУКА!$A$5:$A$44,0)),1)))</f>
        <v/>
      </c>
      <c r="S90" s="37" t="str">
        <f aca="false">IF($Q90="","",IFERROR(INDEX(НАУКА!$G$5:$G$44,MATCH($Q90,НАУКА!$A$5:$A$44,0)),""))</f>
        <v/>
      </c>
      <c r="T90" s="44"/>
      <c r="U90" s="44"/>
      <c r="V90" s="43"/>
      <c r="W90" s="37" t="n">
        <f aca="false">IF(OR($C90="",$D90=""),0,IF(AND($D90&lt;ИНФА!$F$5,OR($T90="",$T90&gt;=ИНФА!$F$5)),1,0))</f>
        <v>0</v>
      </c>
      <c r="X90" s="46" t="str">
        <f aca="false">IF($C90="","",INDEX(СОБЫТИЯ!$B$5:$K$8,MATCH($K90,СОБЫТИЯ!$A$5:$A$8,0),ИНФА!$F$5))</f>
        <v/>
      </c>
      <c r="Y90" s="42" t="str">
        <f aca="false">IF($C90="","",IF($W90=1,ROUND($L90*$O90*IF(AND($Q90&lt;&gt;"",$S90&lt;&gt;""),IF($S90&lt;ИНФА!$F$5,$R90,1),1)*$X90,0)-$M90+N($AF90)+N($AG90),0))</f>
        <v/>
      </c>
      <c r="Z90" s="38" t="str">
        <f aca="false">IF($C90="","",IF($T90="",INDEX(ИНФА!$M$5:$M$19,MATCH($C90,ИНФА!$I$5:$I$19,0)),0))</f>
        <v/>
      </c>
      <c r="AA90" s="38" t="str">
        <f aca="false">IF(OR($C90="",$T90=""),"",IF($V90&lt;&gt;"",$V90,INDEX(ИНФА!$N$5:$N$19,MATCH($C90,ИНФА!$I$5:$I$19,0))))</f>
        <v/>
      </c>
      <c r="AB90" s="37" t="str">
        <f aca="false">IF($C90="","",IF($T90&lt;&gt;"",IF($U90&lt;&gt;"","продано компании "&amp;$U90&amp;" в цикле "&amp;$T90,"продано Инфраструктуре в цикле "&amp;$T90),IF($D90&gt;=ИНФА!$F$5,"доход со следующего цикла","приносит доход")))</f>
        <v/>
      </c>
      <c r="AC90" s="47" t="str">
        <f aca="false">IF($C90="","",IF($F90="","",IF($E90="","укажите продавца; ",IF(OR($F90&lt;INDEX(ИНФА!$N$5:$N$19,MATCH($C90,ИНФА!$I$5:$I$19,0)),$F90&gt;INDEX(ИНФА!$M$5:$M$19,MATCH($C90,ИНФА!$I$5:$I$19,0))),"цена покупки вне коридора! ","")))&amp;IF($U90="","",IF(OR($V90="",$T90=""),"укажите цикл и цену продажи; ",IF(OR($V90&lt;INDEX(ИНФА!$N$5:$N$19,MATCH($C90,ИНФА!$I$5:$I$19,0)),$V90&gt;INDEX(ИНФА!$M$5:$M$19,MATCH($C90,ИНФА!$I$5:$I$19,0))),"цена продажи вне коридора! ","")))&amp;IF(AND($T90="",COUNTIFS($C$5:$C90,$C90,$T$5:$T90,"")&gt;INDEX(ИНФА!$Q$5:$Q$19,MATCH($C90,ИНФА!$I$5:$I$19,0))),"лотов нет! ","")&amp;IF(AND($E90&lt;&gt;"",$F90=""),"укажите цену сделки; ","")&amp;IF(AND(N($H90)&gt;0,OR($AD90="",$AD90="Профессия"),OR($H90&gt;ИНФА!$F$29,$I90&lt;INDEX(ИНФА!$N$5:$N$19,MATCH($C90,ИНФА!$I$5:$I$19,0))+ИНФА!$F$30)),"скидка больше лимита или цена ниже выкупа + 500! ","")&amp;IF($AE90="","",IF(IFERROR(INDEX($B$5:$B$204,MATCH($AE90,$A$5:$A$204,0))=$B90,TRUE()),"бизнес-пара — только со зданием другой компании; ",""))&amp;IF($Q90="","",IF(IFERROR(INDEX(НАУКА!$B$5:$B$44,MATCH($Q90,НАУКА!$A$5:$A$44,0))&lt;&gt;$B90,FALSE()),"патент другой компании — нужна лицензия или соглашение; ","")))</f>
        <v/>
      </c>
      <c r="AD90" s="44"/>
      <c r="AE90" s="44"/>
      <c r="AF90" s="38" t="str">
        <f aca="false">IF($C90="","",IF(AND($W90=1,OR($C90="Дом",$C90="Кафе")),ИНФА!$F$17*(COUNTIFS($B$5:$B90,$B90,$C$5:$C90,$C90,$W$5:$W90,1)&lt;=COUNTIFS($B$5:$B$204,$B90,$C$5:$C$204,"Парк",$W$5:$W$204,1)),0))</f>
        <v/>
      </c>
      <c r="AG90" s="38" t="str">
        <f aca="false">IF($C90="","",IF($W90=1,IF(OR(AND($AE90&lt;&gt;"",IFERROR(INDEX($W$5:$W$204,MATCH($AE90,$A$5:$A$204,0))=1,FALSE()),IFERROR(INDEX($B$5:$B$204,MATCH($AE90,$A$5:$A$204,0))&lt;&gt;$B90,FALSE())),COUNTIFS($AE$5:$AE$204,$A90,$W$5:$W$204,1,$B$5:$B$204,"&lt;&gt;"&amp;$B90)&gt;0),ИНФА!$F$31,0),0))</f>
        <v/>
      </c>
    </row>
    <row r="91" customFormat="false" ht="15" hidden="false" customHeight="false" outlineLevel="0" collapsed="false">
      <c r="A91" s="15" t="n">
        <v>87</v>
      </c>
      <c r="B91" s="44"/>
      <c r="C91" s="44"/>
      <c r="D91" s="44"/>
      <c r="E91" s="44"/>
      <c r="F91" s="43"/>
      <c r="G91" s="38" t="str">
        <f aca="false">IF($C91="","",IF($F91&lt;&gt;"",$F91,INDEX(ИНФА!$M$5:$M$19,MATCH($C91,ИНФА!$I$5:$I$19,0))))</f>
        <v/>
      </c>
      <c r="H91" s="43"/>
      <c r="I91" s="38" t="str">
        <f aca="false">IF($C91="","",G91-N(H91))</f>
        <v/>
      </c>
      <c r="J91" s="37" t="str">
        <f aca="false">IF($C91="","",INDEX(ИНФА!$J$5:$J$19,MATCH($C91,ИНФА!$I$5:$I$19,0)))</f>
        <v/>
      </c>
      <c r="K91" s="37" t="str">
        <f aca="false">IF($C91="","",INDEX(ИНФА!$K$5:$K$19,MATCH($C91,ИНФА!$I$5:$I$19,0)))</f>
        <v/>
      </c>
      <c r="L91" s="38" t="str">
        <f aca="false">IF($C91="","",INDEX(ИНФА!$O$5:$O$19,MATCH($C91,ИНФА!$I$5:$I$19,0)))</f>
        <v/>
      </c>
      <c r="M91" s="38" t="str">
        <f aca="false">IF($C91="","",INDEX(ИНФА!$P$5:$P$19,MATCH($C91,ИНФА!$I$5:$I$19,0)))</f>
        <v/>
      </c>
      <c r="N91" s="44"/>
      <c r="O91" s="48" t="n">
        <f aca="false">IF(OR($C91="",$N91=""),1,IF(AND($J91="Услуги",IFERROR(INDEX($C$5:$C$204,MATCH($N91,$A$5:$A$204,0))=INDEX(ИНФА!$L$5:$L$19,MATCH($C91,ИНФА!$I$5:$I$19,0)),FALSE()),IFERROR(INDEX($W$5:$W$204,MATCH($N91,$A$5:$A$204,0))=1,FALSE()),COUNTIF($N$5:$N91,$N91)&lt;=ИНФА!$F$16),1+ИНФА!$F$15,1))</f>
        <v>1</v>
      </c>
      <c r="P91" s="47" t="str">
        <f aca="false">IF($C91="","",IF($J91&lt;&gt;"Услуги","",IF($N91="","нет поставщика — нужен "&amp;INDEX(ИНФА!$L$5:$L$19,MATCH($C91,ИНФА!$I$5:$I$19,0)),IF($O91&gt;1,"✓ поставка работает (+50%)",IF(IFERROR(INDEX($C$5:$C$204,MATCH($N91,$A$5:$A$204,0))&lt;&gt;INDEX(ИНФА!$L$5:$L$19,MATCH($C91,ИНФА!$I$5:$I$19,0)),TRUE()),"не тот поставщик: нужен "&amp;INDEX(ИНФА!$L$5:$L$19,MATCH($C91,ИНФА!$I$5:$I$19,0)),IF(COUNTIF($N$5:$N91,$N91)&gt;ИНФА!$F$16,"поставщик перегружен","поставщик ещё не работает или продан"))))))</f>
        <v/>
      </c>
      <c r="Q91" s="44"/>
      <c r="R91" s="48" t="str">
        <f aca="false">IF($C91="","",IF($Q91="",1,IFERROR(INDEX(НАУКА!$K$5:$K$44,MATCH($Q91,НАУКА!$A$5:$A$44,0)),1)))</f>
        <v/>
      </c>
      <c r="S91" s="37" t="str">
        <f aca="false">IF($Q91="","",IFERROR(INDEX(НАУКА!$G$5:$G$44,MATCH($Q91,НАУКА!$A$5:$A$44,0)),""))</f>
        <v/>
      </c>
      <c r="T91" s="44"/>
      <c r="U91" s="44"/>
      <c r="V91" s="43"/>
      <c r="W91" s="37" t="n">
        <f aca="false">IF(OR($C91="",$D91=""),0,IF(AND($D91&lt;ИНФА!$F$5,OR($T91="",$T91&gt;=ИНФА!$F$5)),1,0))</f>
        <v>0</v>
      </c>
      <c r="X91" s="46" t="str">
        <f aca="false">IF($C91="","",INDEX(СОБЫТИЯ!$B$5:$K$8,MATCH($K91,СОБЫТИЯ!$A$5:$A$8,0),ИНФА!$F$5))</f>
        <v/>
      </c>
      <c r="Y91" s="42" t="str">
        <f aca="false">IF($C91="","",IF($W91=1,ROUND($L91*$O91*IF(AND($Q91&lt;&gt;"",$S91&lt;&gt;""),IF($S91&lt;ИНФА!$F$5,$R91,1),1)*$X91,0)-$M91+N($AF91)+N($AG91),0))</f>
        <v/>
      </c>
      <c r="Z91" s="38" t="str">
        <f aca="false">IF($C91="","",IF($T91="",INDEX(ИНФА!$M$5:$M$19,MATCH($C91,ИНФА!$I$5:$I$19,0)),0))</f>
        <v/>
      </c>
      <c r="AA91" s="38" t="str">
        <f aca="false">IF(OR($C91="",$T91=""),"",IF($V91&lt;&gt;"",$V91,INDEX(ИНФА!$N$5:$N$19,MATCH($C91,ИНФА!$I$5:$I$19,0))))</f>
        <v/>
      </c>
      <c r="AB91" s="37" t="str">
        <f aca="false">IF($C91="","",IF($T91&lt;&gt;"",IF($U91&lt;&gt;"","продано компании "&amp;$U91&amp;" в цикле "&amp;$T91,"продано Инфраструктуре в цикле "&amp;$T91),IF($D91&gt;=ИНФА!$F$5,"доход со следующего цикла","приносит доход")))</f>
        <v/>
      </c>
      <c r="AC91" s="47" t="str">
        <f aca="false">IF($C91="","",IF($F91="","",IF($E91="","укажите продавца; ",IF(OR($F91&lt;INDEX(ИНФА!$N$5:$N$19,MATCH($C91,ИНФА!$I$5:$I$19,0)),$F91&gt;INDEX(ИНФА!$M$5:$M$19,MATCH($C91,ИНФА!$I$5:$I$19,0))),"цена покупки вне коридора! ","")))&amp;IF($U91="","",IF(OR($V91="",$T91=""),"укажите цикл и цену продажи; ",IF(OR($V91&lt;INDEX(ИНФА!$N$5:$N$19,MATCH($C91,ИНФА!$I$5:$I$19,0)),$V91&gt;INDEX(ИНФА!$M$5:$M$19,MATCH($C91,ИНФА!$I$5:$I$19,0))),"цена продажи вне коридора! ","")))&amp;IF(AND($T91="",COUNTIFS($C$5:$C91,$C91,$T$5:$T91,"")&gt;INDEX(ИНФА!$Q$5:$Q$19,MATCH($C91,ИНФА!$I$5:$I$19,0))),"лотов нет! ","")&amp;IF(AND($E91&lt;&gt;"",$F91=""),"укажите цену сделки; ","")&amp;IF(AND(N($H91)&gt;0,OR($AD91="",$AD91="Профессия"),OR($H91&gt;ИНФА!$F$29,$I91&lt;INDEX(ИНФА!$N$5:$N$19,MATCH($C91,ИНФА!$I$5:$I$19,0))+ИНФА!$F$30)),"скидка больше лимита или цена ниже выкупа + 500! ","")&amp;IF($AE91="","",IF(IFERROR(INDEX($B$5:$B$204,MATCH($AE91,$A$5:$A$204,0))=$B91,TRUE()),"бизнес-пара — только со зданием другой компании; ",""))&amp;IF($Q91="","",IF(IFERROR(INDEX(НАУКА!$B$5:$B$44,MATCH($Q91,НАУКА!$A$5:$A$44,0))&lt;&gt;$B91,FALSE()),"патент другой компании — нужна лицензия или соглашение; ","")))</f>
        <v/>
      </c>
      <c r="AD91" s="44"/>
      <c r="AE91" s="44"/>
      <c r="AF91" s="38" t="str">
        <f aca="false">IF($C91="","",IF(AND($W91=1,OR($C91="Дом",$C91="Кафе")),ИНФА!$F$17*(COUNTIFS($B$5:$B91,$B91,$C$5:$C91,$C91,$W$5:$W91,1)&lt;=COUNTIFS($B$5:$B$204,$B91,$C$5:$C$204,"Парк",$W$5:$W$204,1)),0))</f>
        <v/>
      </c>
      <c r="AG91" s="38" t="str">
        <f aca="false">IF($C91="","",IF($W91=1,IF(OR(AND($AE91&lt;&gt;"",IFERROR(INDEX($W$5:$W$204,MATCH($AE91,$A$5:$A$204,0))=1,FALSE()),IFERROR(INDEX($B$5:$B$204,MATCH($AE91,$A$5:$A$204,0))&lt;&gt;$B91,FALSE())),COUNTIFS($AE$5:$AE$204,$A91,$W$5:$W$204,1,$B$5:$B$204,"&lt;&gt;"&amp;$B91)&gt;0),ИНФА!$F$31,0),0))</f>
        <v/>
      </c>
    </row>
    <row r="92" customFormat="false" ht="15" hidden="false" customHeight="false" outlineLevel="0" collapsed="false">
      <c r="A92" s="15" t="n">
        <v>88</v>
      </c>
      <c r="B92" s="44"/>
      <c r="C92" s="44"/>
      <c r="D92" s="44"/>
      <c r="E92" s="44"/>
      <c r="F92" s="43"/>
      <c r="G92" s="38" t="str">
        <f aca="false">IF($C92="","",IF($F92&lt;&gt;"",$F92,INDEX(ИНФА!$M$5:$M$19,MATCH($C92,ИНФА!$I$5:$I$19,0))))</f>
        <v/>
      </c>
      <c r="H92" s="43"/>
      <c r="I92" s="38" t="str">
        <f aca="false">IF($C92="","",G92-N(H92))</f>
        <v/>
      </c>
      <c r="J92" s="37" t="str">
        <f aca="false">IF($C92="","",INDEX(ИНФА!$J$5:$J$19,MATCH($C92,ИНФА!$I$5:$I$19,0)))</f>
        <v/>
      </c>
      <c r="K92" s="37" t="str">
        <f aca="false">IF($C92="","",INDEX(ИНФА!$K$5:$K$19,MATCH($C92,ИНФА!$I$5:$I$19,0)))</f>
        <v/>
      </c>
      <c r="L92" s="38" t="str">
        <f aca="false">IF($C92="","",INDEX(ИНФА!$O$5:$O$19,MATCH($C92,ИНФА!$I$5:$I$19,0)))</f>
        <v/>
      </c>
      <c r="M92" s="38" t="str">
        <f aca="false">IF($C92="","",INDEX(ИНФА!$P$5:$P$19,MATCH($C92,ИНФА!$I$5:$I$19,0)))</f>
        <v/>
      </c>
      <c r="N92" s="44"/>
      <c r="O92" s="48" t="n">
        <f aca="false">IF(OR($C92="",$N92=""),1,IF(AND($J92="Услуги",IFERROR(INDEX($C$5:$C$204,MATCH($N92,$A$5:$A$204,0))=INDEX(ИНФА!$L$5:$L$19,MATCH($C92,ИНФА!$I$5:$I$19,0)),FALSE()),IFERROR(INDEX($W$5:$W$204,MATCH($N92,$A$5:$A$204,0))=1,FALSE()),COUNTIF($N$5:$N92,$N92)&lt;=ИНФА!$F$16),1+ИНФА!$F$15,1))</f>
        <v>1</v>
      </c>
      <c r="P92" s="47" t="str">
        <f aca="false">IF($C92="","",IF($J92&lt;&gt;"Услуги","",IF($N92="","нет поставщика — нужен "&amp;INDEX(ИНФА!$L$5:$L$19,MATCH($C92,ИНФА!$I$5:$I$19,0)),IF($O92&gt;1,"✓ поставка работает (+50%)",IF(IFERROR(INDEX($C$5:$C$204,MATCH($N92,$A$5:$A$204,0))&lt;&gt;INDEX(ИНФА!$L$5:$L$19,MATCH($C92,ИНФА!$I$5:$I$19,0)),TRUE()),"не тот поставщик: нужен "&amp;INDEX(ИНФА!$L$5:$L$19,MATCH($C92,ИНФА!$I$5:$I$19,0)),IF(COUNTIF($N$5:$N92,$N92)&gt;ИНФА!$F$16,"поставщик перегружен","поставщик ещё не работает или продан"))))))</f>
        <v/>
      </c>
      <c r="Q92" s="44"/>
      <c r="R92" s="48" t="str">
        <f aca="false">IF($C92="","",IF($Q92="",1,IFERROR(INDEX(НАУКА!$K$5:$K$44,MATCH($Q92,НАУКА!$A$5:$A$44,0)),1)))</f>
        <v/>
      </c>
      <c r="S92" s="37" t="str">
        <f aca="false">IF($Q92="","",IFERROR(INDEX(НАУКА!$G$5:$G$44,MATCH($Q92,НАУКА!$A$5:$A$44,0)),""))</f>
        <v/>
      </c>
      <c r="T92" s="44"/>
      <c r="U92" s="44"/>
      <c r="V92" s="43"/>
      <c r="W92" s="37" t="n">
        <f aca="false">IF(OR($C92="",$D92=""),0,IF(AND($D92&lt;ИНФА!$F$5,OR($T92="",$T92&gt;=ИНФА!$F$5)),1,0))</f>
        <v>0</v>
      </c>
      <c r="X92" s="46" t="str">
        <f aca="false">IF($C92="","",INDEX(СОБЫТИЯ!$B$5:$K$8,MATCH($K92,СОБЫТИЯ!$A$5:$A$8,0),ИНФА!$F$5))</f>
        <v/>
      </c>
      <c r="Y92" s="42" t="str">
        <f aca="false">IF($C92="","",IF($W92=1,ROUND($L92*$O92*IF(AND($Q92&lt;&gt;"",$S92&lt;&gt;""),IF($S92&lt;ИНФА!$F$5,$R92,1),1)*$X92,0)-$M92+N($AF92)+N($AG92),0))</f>
        <v/>
      </c>
      <c r="Z92" s="38" t="str">
        <f aca="false">IF($C92="","",IF($T92="",INDEX(ИНФА!$M$5:$M$19,MATCH($C92,ИНФА!$I$5:$I$19,0)),0))</f>
        <v/>
      </c>
      <c r="AA92" s="38" t="str">
        <f aca="false">IF(OR($C92="",$T92=""),"",IF($V92&lt;&gt;"",$V92,INDEX(ИНФА!$N$5:$N$19,MATCH($C92,ИНФА!$I$5:$I$19,0))))</f>
        <v/>
      </c>
      <c r="AB92" s="37" t="str">
        <f aca="false">IF($C92="","",IF($T92&lt;&gt;"",IF($U92&lt;&gt;"","продано компании "&amp;$U92&amp;" в цикле "&amp;$T92,"продано Инфраструктуре в цикле "&amp;$T92),IF($D92&gt;=ИНФА!$F$5,"доход со следующего цикла","приносит доход")))</f>
        <v/>
      </c>
      <c r="AC92" s="47" t="str">
        <f aca="false">IF($C92="","",IF($F92="","",IF($E92="","укажите продавца; ",IF(OR($F92&lt;INDEX(ИНФА!$N$5:$N$19,MATCH($C92,ИНФА!$I$5:$I$19,0)),$F92&gt;INDEX(ИНФА!$M$5:$M$19,MATCH($C92,ИНФА!$I$5:$I$19,0))),"цена покупки вне коридора! ","")))&amp;IF($U92="","",IF(OR($V92="",$T92=""),"укажите цикл и цену продажи; ",IF(OR($V92&lt;INDEX(ИНФА!$N$5:$N$19,MATCH($C92,ИНФА!$I$5:$I$19,0)),$V92&gt;INDEX(ИНФА!$M$5:$M$19,MATCH($C92,ИНФА!$I$5:$I$19,0))),"цена продажи вне коридора! ","")))&amp;IF(AND($T92="",COUNTIFS($C$5:$C92,$C92,$T$5:$T92,"")&gt;INDEX(ИНФА!$Q$5:$Q$19,MATCH($C92,ИНФА!$I$5:$I$19,0))),"лотов нет! ","")&amp;IF(AND($E92&lt;&gt;"",$F92=""),"укажите цену сделки; ","")&amp;IF(AND(N($H92)&gt;0,OR($AD92="",$AD92="Профессия"),OR($H92&gt;ИНФА!$F$29,$I92&lt;INDEX(ИНФА!$N$5:$N$19,MATCH($C92,ИНФА!$I$5:$I$19,0))+ИНФА!$F$30)),"скидка больше лимита или цена ниже выкупа + 500! ","")&amp;IF($AE92="","",IF(IFERROR(INDEX($B$5:$B$204,MATCH($AE92,$A$5:$A$204,0))=$B92,TRUE()),"бизнес-пара — только со зданием другой компании; ",""))&amp;IF($Q92="","",IF(IFERROR(INDEX(НАУКА!$B$5:$B$44,MATCH($Q92,НАУКА!$A$5:$A$44,0))&lt;&gt;$B92,FALSE()),"патент другой компании — нужна лицензия или соглашение; ","")))</f>
        <v/>
      </c>
      <c r="AD92" s="44"/>
      <c r="AE92" s="44"/>
      <c r="AF92" s="38" t="str">
        <f aca="false">IF($C92="","",IF(AND($W92=1,OR($C92="Дом",$C92="Кафе")),ИНФА!$F$17*(COUNTIFS($B$5:$B92,$B92,$C$5:$C92,$C92,$W$5:$W92,1)&lt;=COUNTIFS($B$5:$B$204,$B92,$C$5:$C$204,"Парк",$W$5:$W$204,1)),0))</f>
        <v/>
      </c>
      <c r="AG92" s="38" t="str">
        <f aca="false">IF($C92="","",IF($W92=1,IF(OR(AND($AE92&lt;&gt;"",IFERROR(INDEX($W$5:$W$204,MATCH($AE92,$A$5:$A$204,0))=1,FALSE()),IFERROR(INDEX($B$5:$B$204,MATCH($AE92,$A$5:$A$204,0))&lt;&gt;$B92,FALSE())),COUNTIFS($AE$5:$AE$204,$A92,$W$5:$W$204,1,$B$5:$B$204,"&lt;&gt;"&amp;$B92)&gt;0),ИНФА!$F$31,0),0))</f>
        <v/>
      </c>
    </row>
    <row r="93" customFormat="false" ht="15" hidden="false" customHeight="false" outlineLevel="0" collapsed="false">
      <c r="A93" s="15" t="n">
        <v>89</v>
      </c>
      <c r="B93" s="44"/>
      <c r="C93" s="44"/>
      <c r="D93" s="44"/>
      <c r="E93" s="44"/>
      <c r="F93" s="43"/>
      <c r="G93" s="38" t="str">
        <f aca="false">IF($C93="","",IF($F93&lt;&gt;"",$F93,INDEX(ИНФА!$M$5:$M$19,MATCH($C93,ИНФА!$I$5:$I$19,0))))</f>
        <v/>
      </c>
      <c r="H93" s="43"/>
      <c r="I93" s="38" t="str">
        <f aca="false">IF($C93="","",G93-N(H93))</f>
        <v/>
      </c>
      <c r="J93" s="37" t="str">
        <f aca="false">IF($C93="","",INDEX(ИНФА!$J$5:$J$19,MATCH($C93,ИНФА!$I$5:$I$19,0)))</f>
        <v/>
      </c>
      <c r="K93" s="37" t="str">
        <f aca="false">IF($C93="","",INDEX(ИНФА!$K$5:$K$19,MATCH($C93,ИНФА!$I$5:$I$19,0)))</f>
        <v/>
      </c>
      <c r="L93" s="38" t="str">
        <f aca="false">IF($C93="","",INDEX(ИНФА!$O$5:$O$19,MATCH($C93,ИНФА!$I$5:$I$19,0)))</f>
        <v/>
      </c>
      <c r="M93" s="38" t="str">
        <f aca="false">IF($C93="","",INDEX(ИНФА!$P$5:$P$19,MATCH($C93,ИНФА!$I$5:$I$19,0)))</f>
        <v/>
      </c>
      <c r="N93" s="44"/>
      <c r="O93" s="48" t="n">
        <f aca="false">IF(OR($C93="",$N93=""),1,IF(AND($J93="Услуги",IFERROR(INDEX($C$5:$C$204,MATCH($N93,$A$5:$A$204,0))=INDEX(ИНФА!$L$5:$L$19,MATCH($C93,ИНФА!$I$5:$I$19,0)),FALSE()),IFERROR(INDEX($W$5:$W$204,MATCH($N93,$A$5:$A$204,0))=1,FALSE()),COUNTIF($N$5:$N93,$N93)&lt;=ИНФА!$F$16),1+ИНФА!$F$15,1))</f>
        <v>1</v>
      </c>
      <c r="P93" s="47" t="str">
        <f aca="false">IF($C93="","",IF($J93&lt;&gt;"Услуги","",IF($N93="","нет поставщика — нужен "&amp;INDEX(ИНФА!$L$5:$L$19,MATCH($C93,ИНФА!$I$5:$I$19,0)),IF($O93&gt;1,"✓ поставка работает (+50%)",IF(IFERROR(INDEX($C$5:$C$204,MATCH($N93,$A$5:$A$204,0))&lt;&gt;INDEX(ИНФА!$L$5:$L$19,MATCH($C93,ИНФА!$I$5:$I$19,0)),TRUE()),"не тот поставщик: нужен "&amp;INDEX(ИНФА!$L$5:$L$19,MATCH($C93,ИНФА!$I$5:$I$19,0)),IF(COUNTIF($N$5:$N93,$N93)&gt;ИНФА!$F$16,"поставщик перегружен","поставщик ещё не работает или продан"))))))</f>
        <v/>
      </c>
      <c r="Q93" s="44"/>
      <c r="R93" s="48" t="str">
        <f aca="false">IF($C93="","",IF($Q93="",1,IFERROR(INDEX(НАУКА!$K$5:$K$44,MATCH($Q93,НАУКА!$A$5:$A$44,0)),1)))</f>
        <v/>
      </c>
      <c r="S93" s="37" t="str">
        <f aca="false">IF($Q93="","",IFERROR(INDEX(НАУКА!$G$5:$G$44,MATCH($Q93,НАУКА!$A$5:$A$44,0)),""))</f>
        <v/>
      </c>
      <c r="T93" s="44"/>
      <c r="U93" s="44"/>
      <c r="V93" s="43"/>
      <c r="W93" s="37" t="n">
        <f aca="false">IF(OR($C93="",$D93=""),0,IF(AND($D93&lt;ИНФА!$F$5,OR($T93="",$T93&gt;=ИНФА!$F$5)),1,0))</f>
        <v>0</v>
      </c>
      <c r="X93" s="46" t="str">
        <f aca="false">IF($C93="","",INDEX(СОБЫТИЯ!$B$5:$K$8,MATCH($K93,СОБЫТИЯ!$A$5:$A$8,0),ИНФА!$F$5))</f>
        <v/>
      </c>
      <c r="Y93" s="42" t="str">
        <f aca="false">IF($C93="","",IF($W93=1,ROUND($L93*$O93*IF(AND($Q93&lt;&gt;"",$S93&lt;&gt;""),IF($S93&lt;ИНФА!$F$5,$R93,1),1)*$X93,0)-$M93+N($AF93)+N($AG93),0))</f>
        <v/>
      </c>
      <c r="Z93" s="38" t="str">
        <f aca="false">IF($C93="","",IF($T93="",INDEX(ИНФА!$M$5:$M$19,MATCH($C93,ИНФА!$I$5:$I$19,0)),0))</f>
        <v/>
      </c>
      <c r="AA93" s="38" t="str">
        <f aca="false">IF(OR($C93="",$T93=""),"",IF($V93&lt;&gt;"",$V93,INDEX(ИНФА!$N$5:$N$19,MATCH($C93,ИНФА!$I$5:$I$19,0))))</f>
        <v/>
      </c>
      <c r="AB93" s="37" t="str">
        <f aca="false">IF($C93="","",IF($T93&lt;&gt;"",IF($U93&lt;&gt;"","продано компании "&amp;$U93&amp;" в цикле "&amp;$T93,"продано Инфраструктуре в цикле "&amp;$T93),IF($D93&gt;=ИНФА!$F$5,"доход со следующего цикла","приносит доход")))</f>
        <v/>
      </c>
      <c r="AC93" s="47" t="str">
        <f aca="false">IF($C93="","",IF($F93="","",IF($E93="","укажите продавца; ",IF(OR($F93&lt;INDEX(ИНФА!$N$5:$N$19,MATCH($C93,ИНФА!$I$5:$I$19,0)),$F93&gt;INDEX(ИНФА!$M$5:$M$19,MATCH($C93,ИНФА!$I$5:$I$19,0))),"цена покупки вне коридора! ","")))&amp;IF($U93="","",IF(OR($V93="",$T93=""),"укажите цикл и цену продажи; ",IF(OR($V93&lt;INDEX(ИНФА!$N$5:$N$19,MATCH($C93,ИНФА!$I$5:$I$19,0)),$V93&gt;INDEX(ИНФА!$M$5:$M$19,MATCH($C93,ИНФА!$I$5:$I$19,0))),"цена продажи вне коридора! ","")))&amp;IF(AND($T93="",COUNTIFS($C$5:$C93,$C93,$T$5:$T93,"")&gt;INDEX(ИНФА!$Q$5:$Q$19,MATCH($C93,ИНФА!$I$5:$I$19,0))),"лотов нет! ","")&amp;IF(AND($E93&lt;&gt;"",$F93=""),"укажите цену сделки; ","")&amp;IF(AND(N($H93)&gt;0,OR($AD93="",$AD93="Профессия"),OR($H93&gt;ИНФА!$F$29,$I93&lt;INDEX(ИНФА!$N$5:$N$19,MATCH($C93,ИНФА!$I$5:$I$19,0))+ИНФА!$F$30)),"скидка больше лимита или цена ниже выкупа + 500! ","")&amp;IF($AE93="","",IF(IFERROR(INDEX($B$5:$B$204,MATCH($AE93,$A$5:$A$204,0))=$B93,TRUE()),"бизнес-пара — только со зданием другой компании; ",""))&amp;IF($Q93="","",IF(IFERROR(INDEX(НАУКА!$B$5:$B$44,MATCH($Q93,НАУКА!$A$5:$A$44,0))&lt;&gt;$B93,FALSE()),"патент другой компании — нужна лицензия или соглашение; ","")))</f>
        <v/>
      </c>
      <c r="AD93" s="44"/>
      <c r="AE93" s="44"/>
      <c r="AF93" s="38" t="str">
        <f aca="false">IF($C93="","",IF(AND($W93=1,OR($C93="Дом",$C93="Кафе")),ИНФА!$F$17*(COUNTIFS($B$5:$B93,$B93,$C$5:$C93,$C93,$W$5:$W93,1)&lt;=COUNTIFS($B$5:$B$204,$B93,$C$5:$C$204,"Парк",$W$5:$W$204,1)),0))</f>
        <v/>
      </c>
      <c r="AG93" s="38" t="str">
        <f aca="false">IF($C93="","",IF($W93=1,IF(OR(AND($AE93&lt;&gt;"",IFERROR(INDEX($W$5:$W$204,MATCH($AE93,$A$5:$A$204,0))=1,FALSE()),IFERROR(INDEX($B$5:$B$204,MATCH($AE93,$A$5:$A$204,0))&lt;&gt;$B93,FALSE())),COUNTIFS($AE$5:$AE$204,$A93,$W$5:$W$204,1,$B$5:$B$204,"&lt;&gt;"&amp;$B93)&gt;0),ИНФА!$F$31,0),0))</f>
        <v/>
      </c>
    </row>
    <row r="94" customFormat="false" ht="15" hidden="false" customHeight="false" outlineLevel="0" collapsed="false">
      <c r="A94" s="15" t="n">
        <v>90</v>
      </c>
      <c r="B94" s="44"/>
      <c r="C94" s="44"/>
      <c r="D94" s="44"/>
      <c r="E94" s="44"/>
      <c r="F94" s="43"/>
      <c r="G94" s="38" t="str">
        <f aca="false">IF($C94="","",IF($F94&lt;&gt;"",$F94,INDEX(ИНФА!$M$5:$M$19,MATCH($C94,ИНФА!$I$5:$I$19,0))))</f>
        <v/>
      </c>
      <c r="H94" s="43"/>
      <c r="I94" s="38" t="str">
        <f aca="false">IF($C94="","",G94-N(H94))</f>
        <v/>
      </c>
      <c r="J94" s="37" t="str">
        <f aca="false">IF($C94="","",INDEX(ИНФА!$J$5:$J$19,MATCH($C94,ИНФА!$I$5:$I$19,0)))</f>
        <v/>
      </c>
      <c r="K94" s="37" t="str">
        <f aca="false">IF($C94="","",INDEX(ИНФА!$K$5:$K$19,MATCH($C94,ИНФА!$I$5:$I$19,0)))</f>
        <v/>
      </c>
      <c r="L94" s="38" t="str">
        <f aca="false">IF($C94="","",INDEX(ИНФА!$O$5:$O$19,MATCH($C94,ИНФА!$I$5:$I$19,0)))</f>
        <v/>
      </c>
      <c r="M94" s="38" t="str">
        <f aca="false">IF($C94="","",INDEX(ИНФА!$P$5:$P$19,MATCH($C94,ИНФА!$I$5:$I$19,0)))</f>
        <v/>
      </c>
      <c r="N94" s="44"/>
      <c r="O94" s="48" t="n">
        <f aca="false">IF(OR($C94="",$N94=""),1,IF(AND($J94="Услуги",IFERROR(INDEX($C$5:$C$204,MATCH($N94,$A$5:$A$204,0))=INDEX(ИНФА!$L$5:$L$19,MATCH($C94,ИНФА!$I$5:$I$19,0)),FALSE()),IFERROR(INDEX($W$5:$W$204,MATCH($N94,$A$5:$A$204,0))=1,FALSE()),COUNTIF($N$5:$N94,$N94)&lt;=ИНФА!$F$16),1+ИНФА!$F$15,1))</f>
        <v>1</v>
      </c>
      <c r="P94" s="47" t="str">
        <f aca="false">IF($C94="","",IF($J94&lt;&gt;"Услуги","",IF($N94="","нет поставщика — нужен "&amp;INDEX(ИНФА!$L$5:$L$19,MATCH($C94,ИНФА!$I$5:$I$19,0)),IF($O94&gt;1,"✓ поставка работает (+50%)",IF(IFERROR(INDEX($C$5:$C$204,MATCH($N94,$A$5:$A$204,0))&lt;&gt;INDEX(ИНФА!$L$5:$L$19,MATCH($C94,ИНФА!$I$5:$I$19,0)),TRUE()),"не тот поставщик: нужен "&amp;INDEX(ИНФА!$L$5:$L$19,MATCH($C94,ИНФА!$I$5:$I$19,0)),IF(COUNTIF($N$5:$N94,$N94)&gt;ИНФА!$F$16,"поставщик перегружен","поставщик ещё не работает или продан"))))))</f>
        <v/>
      </c>
      <c r="Q94" s="44"/>
      <c r="R94" s="48" t="str">
        <f aca="false">IF($C94="","",IF($Q94="",1,IFERROR(INDEX(НАУКА!$K$5:$K$44,MATCH($Q94,НАУКА!$A$5:$A$44,0)),1)))</f>
        <v/>
      </c>
      <c r="S94" s="37" t="str">
        <f aca="false">IF($Q94="","",IFERROR(INDEX(НАУКА!$G$5:$G$44,MATCH($Q94,НАУКА!$A$5:$A$44,0)),""))</f>
        <v/>
      </c>
      <c r="T94" s="44"/>
      <c r="U94" s="44"/>
      <c r="V94" s="43"/>
      <c r="W94" s="37" t="n">
        <f aca="false">IF(OR($C94="",$D94=""),0,IF(AND($D94&lt;ИНФА!$F$5,OR($T94="",$T94&gt;=ИНФА!$F$5)),1,0))</f>
        <v>0</v>
      </c>
      <c r="X94" s="46" t="str">
        <f aca="false">IF($C94="","",INDEX(СОБЫТИЯ!$B$5:$K$8,MATCH($K94,СОБЫТИЯ!$A$5:$A$8,0),ИНФА!$F$5))</f>
        <v/>
      </c>
      <c r="Y94" s="42" t="str">
        <f aca="false">IF($C94="","",IF($W94=1,ROUND($L94*$O94*IF(AND($Q94&lt;&gt;"",$S94&lt;&gt;""),IF($S94&lt;ИНФА!$F$5,$R94,1),1)*$X94,0)-$M94+N($AF94)+N($AG94),0))</f>
        <v/>
      </c>
      <c r="Z94" s="38" t="str">
        <f aca="false">IF($C94="","",IF($T94="",INDEX(ИНФА!$M$5:$M$19,MATCH($C94,ИНФА!$I$5:$I$19,0)),0))</f>
        <v/>
      </c>
      <c r="AA94" s="38" t="str">
        <f aca="false">IF(OR($C94="",$T94=""),"",IF($V94&lt;&gt;"",$V94,INDEX(ИНФА!$N$5:$N$19,MATCH($C94,ИНФА!$I$5:$I$19,0))))</f>
        <v/>
      </c>
      <c r="AB94" s="37" t="str">
        <f aca="false">IF($C94="","",IF($T94&lt;&gt;"",IF($U94&lt;&gt;"","продано компании "&amp;$U94&amp;" в цикле "&amp;$T94,"продано Инфраструктуре в цикле "&amp;$T94),IF($D94&gt;=ИНФА!$F$5,"доход со следующего цикла","приносит доход")))</f>
        <v/>
      </c>
      <c r="AC94" s="47" t="str">
        <f aca="false">IF($C94="","",IF($F94="","",IF($E94="","укажите продавца; ",IF(OR($F94&lt;INDEX(ИНФА!$N$5:$N$19,MATCH($C94,ИНФА!$I$5:$I$19,0)),$F94&gt;INDEX(ИНФА!$M$5:$M$19,MATCH($C94,ИНФА!$I$5:$I$19,0))),"цена покупки вне коридора! ","")))&amp;IF($U94="","",IF(OR($V94="",$T94=""),"укажите цикл и цену продажи; ",IF(OR($V94&lt;INDEX(ИНФА!$N$5:$N$19,MATCH($C94,ИНФА!$I$5:$I$19,0)),$V94&gt;INDEX(ИНФА!$M$5:$M$19,MATCH($C94,ИНФА!$I$5:$I$19,0))),"цена продажи вне коридора! ","")))&amp;IF(AND($T94="",COUNTIFS($C$5:$C94,$C94,$T$5:$T94,"")&gt;INDEX(ИНФА!$Q$5:$Q$19,MATCH($C94,ИНФА!$I$5:$I$19,0))),"лотов нет! ","")&amp;IF(AND($E94&lt;&gt;"",$F94=""),"укажите цену сделки; ","")&amp;IF(AND(N($H94)&gt;0,OR($AD94="",$AD94="Профессия"),OR($H94&gt;ИНФА!$F$29,$I94&lt;INDEX(ИНФА!$N$5:$N$19,MATCH($C94,ИНФА!$I$5:$I$19,0))+ИНФА!$F$30)),"скидка больше лимита или цена ниже выкупа + 500! ","")&amp;IF($AE94="","",IF(IFERROR(INDEX($B$5:$B$204,MATCH($AE94,$A$5:$A$204,0))=$B94,TRUE()),"бизнес-пара — только со зданием другой компании; ",""))&amp;IF($Q94="","",IF(IFERROR(INDEX(НАУКА!$B$5:$B$44,MATCH($Q94,НАУКА!$A$5:$A$44,0))&lt;&gt;$B94,FALSE()),"патент другой компании — нужна лицензия или соглашение; ","")))</f>
        <v/>
      </c>
      <c r="AD94" s="44"/>
      <c r="AE94" s="44"/>
      <c r="AF94" s="38" t="str">
        <f aca="false">IF($C94="","",IF(AND($W94=1,OR($C94="Дом",$C94="Кафе")),ИНФА!$F$17*(COUNTIFS($B$5:$B94,$B94,$C$5:$C94,$C94,$W$5:$W94,1)&lt;=COUNTIFS($B$5:$B$204,$B94,$C$5:$C$204,"Парк",$W$5:$W$204,1)),0))</f>
        <v/>
      </c>
      <c r="AG94" s="38" t="str">
        <f aca="false">IF($C94="","",IF($W94=1,IF(OR(AND($AE94&lt;&gt;"",IFERROR(INDEX($W$5:$W$204,MATCH($AE94,$A$5:$A$204,0))=1,FALSE()),IFERROR(INDEX($B$5:$B$204,MATCH($AE94,$A$5:$A$204,0))&lt;&gt;$B94,FALSE())),COUNTIFS($AE$5:$AE$204,$A94,$W$5:$W$204,1,$B$5:$B$204,"&lt;&gt;"&amp;$B94)&gt;0),ИНФА!$F$31,0),0))</f>
        <v/>
      </c>
    </row>
    <row r="95" customFormat="false" ht="15" hidden="false" customHeight="false" outlineLevel="0" collapsed="false">
      <c r="A95" s="15" t="n">
        <v>91</v>
      </c>
      <c r="B95" s="44"/>
      <c r="C95" s="44"/>
      <c r="D95" s="44"/>
      <c r="E95" s="44"/>
      <c r="F95" s="43"/>
      <c r="G95" s="38" t="str">
        <f aca="false">IF($C95="","",IF($F95&lt;&gt;"",$F95,INDEX(ИНФА!$M$5:$M$19,MATCH($C95,ИНФА!$I$5:$I$19,0))))</f>
        <v/>
      </c>
      <c r="H95" s="43"/>
      <c r="I95" s="38" t="str">
        <f aca="false">IF($C95="","",G95-N(H95))</f>
        <v/>
      </c>
      <c r="J95" s="37" t="str">
        <f aca="false">IF($C95="","",INDEX(ИНФА!$J$5:$J$19,MATCH($C95,ИНФА!$I$5:$I$19,0)))</f>
        <v/>
      </c>
      <c r="K95" s="37" t="str">
        <f aca="false">IF($C95="","",INDEX(ИНФА!$K$5:$K$19,MATCH($C95,ИНФА!$I$5:$I$19,0)))</f>
        <v/>
      </c>
      <c r="L95" s="38" t="str">
        <f aca="false">IF($C95="","",INDEX(ИНФА!$O$5:$O$19,MATCH($C95,ИНФА!$I$5:$I$19,0)))</f>
        <v/>
      </c>
      <c r="M95" s="38" t="str">
        <f aca="false">IF($C95="","",INDEX(ИНФА!$P$5:$P$19,MATCH($C95,ИНФА!$I$5:$I$19,0)))</f>
        <v/>
      </c>
      <c r="N95" s="44"/>
      <c r="O95" s="48" t="n">
        <f aca="false">IF(OR($C95="",$N95=""),1,IF(AND($J95="Услуги",IFERROR(INDEX($C$5:$C$204,MATCH($N95,$A$5:$A$204,0))=INDEX(ИНФА!$L$5:$L$19,MATCH($C95,ИНФА!$I$5:$I$19,0)),FALSE()),IFERROR(INDEX($W$5:$W$204,MATCH($N95,$A$5:$A$204,0))=1,FALSE()),COUNTIF($N$5:$N95,$N95)&lt;=ИНФА!$F$16),1+ИНФА!$F$15,1))</f>
        <v>1</v>
      </c>
      <c r="P95" s="47" t="str">
        <f aca="false">IF($C95="","",IF($J95&lt;&gt;"Услуги","",IF($N95="","нет поставщика — нужен "&amp;INDEX(ИНФА!$L$5:$L$19,MATCH($C95,ИНФА!$I$5:$I$19,0)),IF($O95&gt;1,"✓ поставка работает (+50%)",IF(IFERROR(INDEX($C$5:$C$204,MATCH($N95,$A$5:$A$204,0))&lt;&gt;INDEX(ИНФА!$L$5:$L$19,MATCH($C95,ИНФА!$I$5:$I$19,0)),TRUE()),"не тот поставщик: нужен "&amp;INDEX(ИНФА!$L$5:$L$19,MATCH($C95,ИНФА!$I$5:$I$19,0)),IF(COUNTIF($N$5:$N95,$N95)&gt;ИНФА!$F$16,"поставщик перегружен","поставщик ещё не работает или продан"))))))</f>
        <v/>
      </c>
      <c r="Q95" s="44"/>
      <c r="R95" s="48" t="str">
        <f aca="false">IF($C95="","",IF($Q95="",1,IFERROR(INDEX(НАУКА!$K$5:$K$44,MATCH($Q95,НАУКА!$A$5:$A$44,0)),1)))</f>
        <v/>
      </c>
      <c r="S95" s="37" t="str">
        <f aca="false">IF($Q95="","",IFERROR(INDEX(НАУКА!$G$5:$G$44,MATCH($Q95,НАУКА!$A$5:$A$44,0)),""))</f>
        <v/>
      </c>
      <c r="T95" s="44"/>
      <c r="U95" s="44"/>
      <c r="V95" s="43"/>
      <c r="W95" s="37" t="n">
        <f aca="false">IF(OR($C95="",$D95=""),0,IF(AND($D95&lt;ИНФА!$F$5,OR($T95="",$T95&gt;=ИНФА!$F$5)),1,0))</f>
        <v>0</v>
      </c>
      <c r="X95" s="46" t="str">
        <f aca="false">IF($C95="","",INDEX(СОБЫТИЯ!$B$5:$K$8,MATCH($K95,СОБЫТИЯ!$A$5:$A$8,0),ИНФА!$F$5))</f>
        <v/>
      </c>
      <c r="Y95" s="42" t="str">
        <f aca="false">IF($C95="","",IF($W95=1,ROUND($L95*$O95*IF(AND($Q95&lt;&gt;"",$S95&lt;&gt;""),IF($S95&lt;ИНФА!$F$5,$R95,1),1)*$X95,0)-$M95+N($AF95)+N($AG95),0))</f>
        <v/>
      </c>
      <c r="Z95" s="38" t="str">
        <f aca="false">IF($C95="","",IF($T95="",INDEX(ИНФА!$M$5:$M$19,MATCH($C95,ИНФА!$I$5:$I$19,0)),0))</f>
        <v/>
      </c>
      <c r="AA95" s="38" t="str">
        <f aca="false">IF(OR($C95="",$T95=""),"",IF($V95&lt;&gt;"",$V95,INDEX(ИНФА!$N$5:$N$19,MATCH($C95,ИНФА!$I$5:$I$19,0))))</f>
        <v/>
      </c>
      <c r="AB95" s="37" t="str">
        <f aca="false">IF($C95="","",IF($T95&lt;&gt;"",IF($U95&lt;&gt;"","продано компании "&amp;$U95&amp;" в цикле "&amp;$T95,"продано Инфраструктуре в цикле "&amp;$T95),IF($D95&gt;=ИНФА!$F$5,"доход со следующего цикла","приносит доход")))</f>
        <v/>
      </c>
      <c r="AC95" s="47" t="str">
        <f aca="false">IF($C95="","",IF($F95="","",IF($E95="","укажите продавца; ",IF(OR($F95&lt;INDEX(ИНФА!$N$5:$N$19,MATCH($C95,ИНФА!$I$5:$I$19,0)),$F95&gt;INDEX(ИНФА!$M$5:$M$19,MATCH($C95,ИНФА!$I$5:$I$19,0))),"цена покупки вне коридора! ","")))&amp;IF($U95="","",IF(OR($V95="",$T95=""),"укажите цикл и цену продажи; ",IF(OR($V95&lt;INDEX(ИНФА!$N$5:$N$19,MATCH($C95,ИНФА!$I$5:$I$19,0)),$V95&gt;INDEX(ИНФА!$M$5:$M$19,MATCH($C95,ИНФА!$I$5:$I$19,0))),"цена продажи вне коридора! ","")))&amp;IF(AND($T95="",COUNTIFS($C$5:$C95,$C95,$T$5:$T95,"")&gt;INDEX(ИНФА!$Q$5:$Q$19,MATCH($C95,ИНФА!$I$5:$I$19,0))),"лотов нет! ","")&amp;IF(AND($E95&lt;&gt;"",$F95=""),"укажите цену сделки; ","")&amp;IF(AND(N($H95)&gt;0,OR($AD95="",$AD95="Профессия"),OR($H95&gt;ИНФА!$F$29,$I95&lt;INDEX(ИНФА!$N$5:$N$19,MATCH($C95,ИНФА!$I$5:$I$19,0))+ИНФА!$F$30)),"скидка больше лимита или цена ниже выкупа + 500! ","")&amp;IF($AE95="","",IF(IFERROR(INDEX($B$5:$B$204,MATCH($AE95,$A$5:$A$204,0))=$B95,TRUE()),"бизнес-пара — только со зданием другой компании; ",""))&amp;IF($Q95="","",IF(IFERROR(INDEX(НАУКА!$B$5:$B$44,MATCH($Q95,НАУКА!$A$5:$A$44,0))&lt;&gt;$B95,FALSE()),"патент другой компании — нужна лицензия или соглашение; ","")))</f>
        <v/>
      </c>
      <c r="AD95" s="44"/>
      <c r="AE95" s="44"/>
      <c r="AF95" s="38" t="str">
        <f aca="false">IF($C95="","",IF(AND($W95=1,OR($C95="Дом",$C95="Кафе")),ИНФА!$F$17*(COUNTIFS($B$5:$B95,$B95,$C$5:$C95,$C95,$W$5:$W95,1)&lt;=COUNTIFS($B$5:$B$204,$B95,$C$5:$C$204,"Парк",$W$5:$W$204,1)),0))</f>
        <v/>
      </c>
      <c r="AG95" s="38" t="str">
        <f aca="false">IF($C95="","",IF($W95=1,IF(OR(AND($AE95&lt;&gt;"",IFERROR(INDEX($W$5:$W$204,MATCH($AE95,$A$5:$A$204,0))=1,FALSE()),IFERROR(INDEX($B$5:$B$204,MATCH($AE95,$A$5:$A$204,0))&lt;&gt;$B95,FALSE())),COUNTIFS($AE$5:$AE$204,$A95,$W$5:$W$204,1,$B$5:$B$204,"&lt;&gt;"&amp;$B95)&gt;0),ИНФА!$F$31,0),0))</f>
        <v/>
      </c>
    </row>
    <row r="96" customFormat="false" ht="15" hidden="false" customHeight="false" outlineLevel="0" collapsed="false">
      <c r="A96" s="15" t="n">
        <v>92</v>
      </c>
      <c r="B96" s="44"/>
      <c r="C96" s="44"/>
      <c r="D96" s="44"/>
      <c r="E96" s="44"/>
      <c r="F96" s="43"/>
      <c r="G96" s="38" t="str">
        <f aca="false">IF($C96="","",IF($F96&lt;&gt;"",$F96,INDEX(ИНФА!$M$5:$M$19,MATCH($C96,ИНФА!$I$5:$I$19,0))))</f>
        <v/>
      </c>
      <c r="H96" s="43"/>
      <c r="I96" s="38" t="str">
        <f aca="false">IF($C96="","",G96-N(H96))</f>
        <v/>
      </c>
      <c r="J96" s="37" t="str">
        <f aca="false">IF($C96="","",INDEX(ИНФА!$J$5:$J$19,MATCH($C96,ИНФА!$I$5:$I$19,0)))</f>
        <v/>
      </c>
      <c r="K96" s="37" t="str">
        <f aca="false">IF($C96="","",INDEX(ИНФА!$K$5:$K$19,MATCH($C96,ИНФА!$I$5:$I$19,0)))</f>
        <v/>
      </c>
      <c r="L96" s="38" t="str">
        <f aca="false">IF($C96="","",INDEX(ИНФА!$O$5:$O$19,MATCH($C96,ИНФА!$I$5:$I$19,0)))</f>
        <v/>
      </c>
      <c r="M96" s="38" t="str">
        <f aca="false">IF($C96="","",INDEX(ИНФА!$P$5:$P$19,MATCH($C96,ИНФА!$I$5:$I$19,0)))</f>
        <v/>
      </c>
      <c r="N96" s="44"/>
      <c r="O96" s="48" t="n">
        <f aca="false">IF(OR($C96="",$N96=""),1,IF(AND($J96="Услуги",IFERROR(INDEX($C$5:$C$204,MATCH($N96,$A$5:$A$204,0))=INDEX(ИНФА!$L$5:$L$19,MATCH($C96,ИНФА!$I$5:$I$19,0)),FALSE()),IFERROR(INDEX($W$5:$W$204,MATCH($N96,$A$5:$A$204,0))=1,FALSE()),COUNTIF($N$5:$N96,$N96)&lt;=ИНФА!$F$16),1+ИНФА!$F$15,1))</f>
        <v>1</v>
      </c>
      <c r="P96" s="47" t="str">
        <f aca="false">IF($C96="","",IF($J96&lt;&gt;"Услуги","",IF($N96="","нет поставщика — нужен "&amp;INDEX(ИНФА!$L$5:$L$19,MATCH($C96,ИНФА!$I$5:$I$19,0)),IF($O96&gt;1,"✓ поставка работает (+50%)",IF(IFERROR(INDEX($C$5:$C$204,MATCH($N96,$A$5:$A$204,0))&lt;&gt;INDEX(ИНФА!$L$5:$L$19,MATCH($C96,ИНФА!$I$5:$I$19,0)),TRUE()),"не тот поставщик: нужен "&amp;INDEX(ИНФА!$L$5:$L$19,MATCH($C96,ИНФА!$I$5:$I$19,0)),IF(COUNTIF($N$5:$N96,$N96)&gt;ИНФА!$F$16,"поставщик перегружен","поставщик ещё не работает или продан"))))))</f>
        <v/>
      </c>
      <c r="Q96" s="44"/>
      <c r="R96" s="48" t="str">
        <f aca="false">IF($C96="","",IF($Q96="",1,IFERROR(INDEX(НАУКА!$K$5:$K$44,MATCH($Q96,НАУКА!$A$5:$A$44,0)),1)))</f>
        <v/>
      </c>
      <c r="S96" s="37" t="str">
        <f aca="false">IF($Q96="","",IFERROR(INDEX(НАУКА!$G$5:$G$44,MATCH($Q96,НАУКА!$A$5:$A$44,0)),""))</f>
        <v/>
      </c>
      <c r="T96" s="44"/>
      <c r="U96" s="44"/>
      <c r="V96" s="43"/>
      <c r="W96" s="37" t="n">
        <f aca="false">IF(OR($C96="",$D96=""),0,IF(AND($D96&lt;ИНФА!$F$5,OR($T96="",$T96&gt;=ИНФА!$F$5)),1,0))</f>
        <v>0</v>
      </c>
      <c r="X96" s="46" t="str">
        <f aca="false">IF($C96="","",INDEX(СОБЫТИЯ!$B$5:$K$8,MATCH($K96,СОБЫТИЯ!$A$5:$A$8,0),ИНФА!$F$5))</f>
        <v/>
      </c>
      <c r="Y96" s="42" t="str">
        <f aca="false">IF($C96="","",IF($W96=1,ROUND($L96*$O96*IF(AND($Q96&lt;&gt;"",$S96&lt;&gt;""),IF($S96&lt;ИНФА!$F$5,$R96,1),1)*$X96,0)-$M96+N($AF96)+N($AG96),0))</f>
        <v/>
      </c>
      <c r="Z96" s="38" t="str">
        <f aca="false">IF($C96="","",IF($T96="",INDEX(ИНФА!$M$5:$M$19,MATCH($C96,ИНФА!$I$5:$I$19,0)),0))</f>
        <v/>
      </c>
      <c r="AA96" s="38" t="str">
        <f aca="false">IF(OR($C96="",$T96=""),"",IF($V96&lt;&gt;"",$V96,INDEX(ИНФА!$N$5:$N$19,MATCH($C96,ИНФА!$I$5:$I$19,0))))</f>
        <v/>
      </c>
      <c r="AB96" s="37" t="str">
        <f aca="false">IF($C96="","",IF($T96&lt;&gt;"",IF($U96&lt;&gt;"","продано компании "&amp;$U96&amp;" в цикле "&amp;$T96,"продано Инфраструктуре в цикле "&amp;$T96),IF($D96&gt;=ИНФА!$F$5,"доход со следующего цикла","приносит доход")))</f>
        <v/>
      </c>
      <c r="AC96" s="47" t="str">
        <f aca="false">IF($C96="","",IF($F96="","",IF($E96="","укажите продавца; ",IF(OR($F96&lt;INDEX(ИНФА!$N$5:$N$19,MATCH($C96,ИНФА!$I$5:$I$19,0)),$F96&gt;INDEX(ИНФА!$M$5:$M$19,MATCH($C96,ИНФА!$I$5:$I$19,0))),"цена покупки вне коридора! ","")))&amp;IF($U96="","",IF(OR($V96="",$T96=""),"укажите цикл и цену продажи; ",IF(OR($V96&lt;INDEX(ИНФА!$N$5:$N$19,MATCH($C96,ИНФА!$I$5:$I$19,0)),$V96&gt;INDEX(ИНФА!$M$5:$M$19,MATCH($C96,ИНФА!$I$5:$I$19,0))),"цена продажи вне коридора! ","")))&amp;IF(AND($T96="",COUNTIFS($C$5:$C96,$C96,$T$5:$T96,"")&gt;INDEX(ИНФА!$Q$5:$Q$19,MATCH($C96,ИНФА!$I$5:$I$19,0))),"лотов нет! ","")&amp;IF(AND($E96&lt;&gt;"",$F96=""),"укажите цену сделки; ","")&amp;IF(AND(N($H96)&gt;0,OR($AD96="",$AD96="Профессия"),OR($H96&gt;ИНФА!$F$29,$I96&lt;INDEX(ИНФА!$N$5:$N$19,MATCH($C96,ИНФА!$I$5:$I$19,0))+ИНФА!$F$30)),"скидка больше лимита или цена ниже выкупа + 500! ","")&amp;IF($AE96="","",IF(IFERROR(INDEX($B$5:$B$204,MATCH($AE96,$A$5:$A$204,0))=$B96,TRUE()),"бизнес-пара — только со зданием другой компании; ",""))&amp;IF($Q96="","",IF(IFERROR(INDEX(НАУКА!$B$5:$B$44,MATCH($Q96,НАУКА!$A$5:$A$44,0))&lt;&gt;$B96,FALSE()),"патент другой компании — нужна лицензия или соглашение; ","")))</f>
        <v/>
      </c>
      <c r="AD96" s="44"/>
      <c r="AE96" s="44"/>
      <c r="AF96" s="38" t="str">
        <f aca="false">IF($C96="","",IF(AND($W96=1,OR($C96="Дом",$C96="Кафе")),ИНФА!$F$17*(COUNTIFS($B$5:$B96,$B96,$C$5:$C96,$C96,$W$5:$W96,1)&lt;=COUNTIFS($B$5:$B$204,$B96,$C$5:$C$204,"Парк",$W$5:$W$204,1)),0))</f>
        <v/>
      </c>
      <c r="AG96" s="38" t="str">
        <f aca="false">IF($C96="","",IF($W96=1,IF(OR(AND($AE96&lt;&gt;"",IFERROR(INDEX($W$5:$W$204,MATCH($AE96,$A$5:$A$204,0))=1,FALSE()),IFERROR(INDEX($B$5:$B$204,MATCH($AE96,$A$5:$A$204,0))&lt;&gt;$B96,FALSE())),COUNTIFS($AE$5:$AE$204,$A96,$W$5:$W$204,1,$B$5:$B$204,"&lt;&gt;"&amp;$B96)&gt;0),ИНФА!$F$31,0),0))</f>
        <v/>
      </c>
    </row>
    <row r="97" customFormat="false" ht="15" hidden="false" customHeight="false" outlineLevel="0" collapsed="false">
      <c r="A97" s="15" t="n">
        <v>93</v>
      </c>
      <c r="B97" s="44"/>
      <c r="C97" s="44"/>
      <c r="D97" s="44"/>
      <c r="E97" s="44"/>
      <c r="F97" s="43"/>
      <c r="G97" s="38" t="str">
        <f aca="false">IF($C97="","",IF($F97&lt;&gt;"",$F97,INDEX(ИНФА!$M$5:$M$19,MATCH($C97,ИНФА!$I$5:$I$19,0))))</f>
        <v/>
      </c>
      <c r="H97" s="43"/>
      <c r="I97" s="38" t="str">
        <f aca="false">IF($C97="","",G97-N(H97))</f>
        <v/>
      </c>
      <c r="J97" s="37" t="str">
        <f aca="false">IF($C97="","",INDEX(ИНФА!$J$5:$J$19,MATCH($C97,ИНФА!$I$5:$I$19,0)))</f>
        <v/>
      </c>
      <c r="K97" s="37" t="str">
        <f aca="false">IF($C97="","",INDEX(ИНФА!$K$5:$K$19,MATCH($C97,ИНФА!$I$5:$I$19,0)))</f>
        <v/>
      </c>
      <c r="L97" s="38" t="str">
        <f aca="false">IF($C97="","",INDEX(ИНФА!$O$5:$O$19,MATCH($C97,ИНФА!$I$5:$I$19,0)))</f>
        <v/>
      </c>
      <c r="M97" s="38" t="str">
        <f aca="false">IF($C97="","",INDEX(ИНФА!$P$5:$P$19,MATCH($C97,ИНФА!$I$5:$I$19,0)))</f>
        <v/>
      </c>
      <c r="N97" s="44"/>
      <c r="O97" s="48" t="n">
        <f aca="false">IF(OR($C97="",$N97=""),1,IF(AND($J97="Услуги",IFERROR(INDEX($C$5:$C$204,MATCH($N97,$A$5:$A$204,0))=INDEX(ИНФА!$L$5:$L$19,MATCH($C97,ИНФА!$I$5:$I$19,0)),FALSE()),IFERROR(INDEX($W$5:$W$204,MATCH($N97,$A$5:$A$204,0))=1,FALSE()),COUNTIF($N$5:$N97,$N97)&lt;=ИНФА!$F$16),1+ИНФА!$F$15,1))</f>
        <v>1</v>
      </c>
      <c r="P97" s="47" t="str">
        <f aca="false">IF($C97="","",IF($J97&lt;&gt;"Услуги","",IF($N97="","нет поставщика — нужен "&amp;INDEX(ИНФА!$L$5:$L$19,MATCH($C97,ИНФА!$I$5:$I$19,0)),IF($O97&gt;1,"✓ поставка работает (+50%)",IF(IFERROR(INDEX($C$5:$C$204,MATCH($N97,$A$5:$A$204,0))&lt;&gt;INDEX(ИНФА!$L$5:$L$19,MATCH($C97,ИНФА!$I$5:$I$19,0)),TRUE()),"не тот поставщик: нужен "&amp;INDEX(ИНФА!$L$5:$L$19,MATCH($C97,ИНФА!$I$5:$I$19,0)),IF(COUNTIF($N$5:$N97,$N97)&gt;ИНФА!$F$16,"поставщик перегружен","поставщик ещё не работает или продан"))))))</f>
        <v/>
      </c>
      <c r="Q97" s="44"/>
      <c r="R97" s="48" t="str">
        <f aca="false">IF($C97="","",IF($Q97="",1,IFERROR(INDEX(НАУКА!$K$5:$K$44,MATCH($Q97,НАУКА!$A$5:$A$44,0)),1)))</f>
        <v/>
      </c>
      <c r="S97" s="37" t="str">
        <f aca="false">IF($Q97="","",IFERROR(INDEX(НАУКА!$G$5:$G$44,MATCH($Q97,НАУКА!$A$5:$A$44,0)),""))</f>
        <v/>
      </c>
      <c r="T97" s="44"/>
      <c r="U97" s="44"/>
      <c r="V97" s="43"/>
      <c r="W97" s="37" t="n">
        <f aca="false">IF(OR($C97="",$D97=""),0,IF(AND($D97&lt;ИНФА!$F$5,OR($T97="",$T97&gt;=ИНФА!$F$5)),1,0))</f>
        <v>0</v>
      </c>
      <c r="X97" s="46" t="str">
        <f aca="false">IF($C97="","",INDEX(СОБЫТИЯ!$B$5:$K$8,MATCH($K97,СОБЫТИЯ!$A$5:$A$8,0),ИНФА!$F$5))</f>
        <v/>
      </c>
      <c r="Y97" s="42" t="str">
        <f aca="false">IF($C97="","",IF($W97=1,ROUND($L97*$O97*IF(AND($Q97&lt;&gt;"",$S97&lt;&gt;""),IF($S97&lt;ИНФА!$F$5,$R97,1),1)*$X97,0)-$M97+N($AF97)+N($AG97),0))</f>
        <v/>
      </c>
      <c r="Z97" s="38" t="str">
        <f aca="false">IF($C97="","",IF($T97="",INDEX(ИНФА!$M$5:$M$19,MATCH($C97,ИНФА!$I$5:$I$19,0)),0))</f>
        <v/>
      </c>
      <c r="AA97" s="38" t="str">
        <f aca="false">IF(OR($C97="",$T97=""),"",IF($V97&lt;&gt;"",$V97,INDEX(ИНФА!$N$5:$N$19,MATCH($C97,ИНФА!$I$5:$I$19,0))))</f>
        <v/>
      </c>
      <c r="AB97" s="37" t="str">
        <f aca="false">IF($C97="","",IF($T97&lt;&gt;"",IF($U97&lt;&gt;"","продано компании "&amp;$U97&amp;" в цикле "&amp;$T97,"продано Инфраструктуре в цикле "&amp;$T97),IF($D97&gt;=ИНФА!$F$5,"доход со следующего цикла","приносит доход")))</f>
        <v/>
      </c>
      <c r="AC97" s="47" t="str">
        <f aca="false">IF($C97="","",IF($F97="","",IF($E97="","укажите продавца; ",IF(OR($F97&lt;INDEX(ИНФА!$N$5:$N$19,MATCH($C97,ИНФА!$I$5:$I$19,0)),$F97&gt;INDEX(ИНФА!$M$5:$M$19,MATCH($C97,ИНФА!$I$5:$I$19,0))),"цена покупки вне коридора! ","")))&amp;IF($U97="","",IF(OR($V97="",$T97=""),"укажите цикл и цену продажи; ",IF(OR($V97&lt;INDEX(ИНФА!$N$5:$N$19,MATCH($C97,ИНФА!$I$5:$I$19,0)),$V97&gt;INDEX(ИНФА!$M$5:$M$19,MATCH($C97,ИНФА!$I$5:$I$19,0))),"цена продажи вне коридора! ","")))&amp;IF(AND($T97="",COUNTIFS($C$5:$C97,$C97,$T$5:$T97,"")&gt;INDEX(ИНФА!$Q$5:$Q$19,MATCH($C97,ИНФА!$I$5:$I$19,0))),"лотов нет! ","")&amp;IF(AND($E97&lt;&gt;"",$F97=""),"укажите цену сделки; ","")&amp;IF(AND(N($H97)&gt;0,OR($AD97="",$AD97="Профессия"),OR($H97&gt;ИНФА!$F$29,$I97&lt;INDEX(ИНФА!$N$5:$N$19,MATCH($C97,ИНФА!$I$5:$I$19,0))+ИНФА!$F$30)),"скидка больше лимита или цена ниже выкупа + 500! ","")&amp;IF($AE97="","",IF(IFERROR(INDEX($B$5:$B$204,MATCH($AE97,$A$5:$A$204,0))=$B97,TRUE()),"бизнес-пара — только со зданием другой компании; ",""))&amp;IF($Q97="","",IF(IFERROR(INDEX(НАУКА!$B$5:$B$44,MATCH($Q97,НАУКА!$A$5:$A$44,0))&lt;&gt;$B97,FALSE()),"патент другой компании — нужна лицензия или соглашение; ","")))</f>
        <v/>
      </c>
      <c r="AD97" s="44"/>
      <c r="AE97" s="44"/>
      <c r="AF97" s="38" t="str">
        <f aca="false">IF($C97="","",IF(AND($W97=1,OR($C97="Дом",$C97="Кафе")),ИНФА!$F$17*(COUNTIFS($B$5:$B97,$B97,$C$5:$C97,$C97,$W$5:$W97,1)&lt;=COUNTIFS($B$5:$B$204,$B97,$C$5:$C$204,"Парк",$W$5:$W$204,1)),0))</f>
        <v/>
      </c>
      <c r="AG97" s="38" t="str">
        <f aca="false">IF($C97="","",IF($W97=1,IF(OR(AND($AE97&lt;&gt;"",IFERROR(INDEX($W$5:$W$204,MATCH($AE97,$A$5:$A$204,0))=1,FALSE()),IFERROR(INDEX($B$5:$B$204,MATCH($AE97,$A$5:$A$204,0))&lt;&gt;$B97,FALSE())),COUNTIFS($AE$5:$AE$204,$A97,$W$5:$W$204,1,$B$5:$B$204,"&lt;&gt;"&amp;$B97)&gt;0),ИНФА!$F$31,0),0))</f>
        <v/>
      </c>
    </row>
    <row r="98" customFormat="false" ht="15" hidden="false" customHeight="false" outlineLevel="0" collapsed="false">
      <c r="A98" s="15" t="n">
        <v>94</v>
      </c>
      <c r="B98" s="44"/>
      <c r="C98" s="44"/>
      <c r="D98" s="44"/>
      <c r="E98" s="44"/>
      <c r="F98" s="43"/>
      <c r="G98" s="38" t="str">
        <f aca="false">IF($C98="","",IF($F98&lt;&gt;"",$F98,INDEX(ИНФА!$M$5:$M$19,MATCH($C98,ИНФА!$I$5:$I$19,0))))</f>
        <v/>
      </c>
      <c r="H98" s="43"/>
      <c r="I98" s="38" t="str">
        <f aca="false">IF($C98="","",G98-N(H98))</f>
        <v/>
      </c>
      <c r="J98" s="37" t="str">
        <f aca="false">IF($C98="","",INDEX(ИНФА!$J$5:$J$19,MATCH($C98,ИНФА!$I$5:$I$19,0)))</f>
        <v/>
      </c>
      <c r="K98" s="37" t="str">
        <f aca="false">IF($C98="","",INDEX(ИНФА!$K$5:$K$19,MATCH($C98,ИНФА!$I$5:$I$19,0)))</f>
        <v/>
      </c>
      <c r="L98" s="38" t="str">
        <f aca="false">IF($C98="","",INDEX(ИНФА!$O$5:$O$19,MATCH($C98,ИНФА!$I$5:$I$19,0)))</f>
        <v/>
      </c>
      <c r="M98" s="38" t="str">
        <f aca="false">IF($C98="","",INDEX(ИНФА!$P$5:$P$19,MATCH($C98,ИНФА!$I$5:$I$19,0)))</f>
        <v/>
      </c>
      <c r="N98" s="44"/>
      <c r="O98" s="48" t="n">
        <f aca="false">IF(OR($C98="",$N98=""),1,IF(AND($J98="Услуги",IFERROR(INDEX($C$5:$C$204,MATCH($N98,$A$5:$A$204,0))=INDEX(ИНФА!$L$5:$L$19,MATCH($C98,ИНФА!$I$5:$I$19,0)),FALSE()),IFERROR(INDEX($W$5:$W$204,MATCH($N98,$A$5:$A$204,0))=1,FALSE()),COUNTIF($N$5:$N98,$N98)&lt;=ИНФА!$F$16),1+ИНФА!$F$15,1))</f>
        <v>1</v>
      </c>
      <c r="P98" s="47" t="str">
        <f aca="false">IF($C98="","",IF($J98&lt;&gt;"Услуги","",IF($N98="","нет поставщика — нужен "&amp;INDEX(ИНФА!$L$5:$L$19,MATCH($C98,ИНФА!$I$5:$I$19,0)),IF($O98&gt;1,"✓ поставка работает (+50%)",IF(IFERROR(INDEX($C$5:$C$204,MATCH($N98,$A$5:$A$204,0))&lt;&gt;INDEX(ИНФА!$L$5:$L$19,MATCH($C98,ИНФА!$I$5:$I$19,0)),TRUE()),"не тот поставщик: нужен "&amp;INDEX(ИНФА!$L$5:$L$19,MATCH($C98,ИНФА!$I$5:$I$19,0)),IF(COUNTIF($N$5:$N98,$N98)&gt;ИНФА!$F$16,"поставщик перегружен","поставщик ещё не работает или продан"))))))</f>
        <v/>
      </c>
      <c r="Q98" s="44"/>
      <c r="R98" s="48" t="str">
        <f aca="false">IF($C98="","",IF($Q98="",1,IFERROR(INDEX(НАУКА!$K$5:$K$44,MATCH($Q98,НАУКА!$A$5:$A$44,0)),1)))</f>
        <v/>
      </c>
      <c r="S98" s="37" t="str">
        <f aca="false">IF($Q98="","",IFERROR(INDEX(НАУКА!$G$5:$G$44,MATCH($Q98,НАУКА!$A$5:$A$44,0)),""))</f>
        <v/>
      </c>
      <c r="T98" s="44"/>
      <c r="U98" s="44"/>
      <c r="V98" s="43"/>
      <c r="W98" s="37" t="n">
        <f aca="false">IF(OR($C98="",$D98=""),0,IF(AND($D98&lt;ИНФА!$F$5,OR($T98="",$T98&gt;=ИНФА!$F$5)),1,0))</f>
        <v>0</v>
      </c>
      <c r="X98" s="46" t="str">
        <f aca="false">IF($C98="","",INDEX(СОБЫТИЯ!$B$5:$K$8,MATCH($K98,СОБЫТИЯ!$A$5:$A$8,0),ИНФА!$F$5))</f>
        <v/>
      </c>
      <c r="Y98" s="42" t="str">
        <f aca="false">IF($C98="","",IF($W98=1,ROUND($L98*$O98*IF(AND($Q98&lt;&gt;"",$S98&lt;&gt;""),IF($S98&lt;ИНФА!$F$5,$R98,1),1)*$X98,0)-$M98+N($AF98)+N($AG98),0))</f>
        <v/>
      </c>
      <c r="Z98" s="38" t="str">
        <f aca="false">IF($C98="","",IF($T98="",INDEX(ИНФА!$M$5:$M$19,MATCH($C98,ИНФА!$I$5:$I$19,0)),0))</f>
        <v/>
      </c>
      <c r="AA98" s="38" t="str">
        <f aca="false">IF(OR($C98="",$T98=""),"",IF($V98&lt;&gt;"",$V98,INDEX(ИНФА!$N$5:$N$19,MATCH($C98,ИНФА!$I$5:$I$19,0))))</f>
        <v/>
      </c>
      <c r="AB98" s="37" t="str">
        <f aca="false">IF($C98="","",IF($T98&lt;&gt;"",IF($U98&lt;&gt;"","продано компании "&amp;$U98&amp;" в цикле "&amp;$T98,"продано Инфраструктуре в цикле "&amp;$T98),IF($D98&gt;=ИНФА!$F$5,"доход со следующего цикла","приносит доход")))</f>
        <v/>
      </c>
      <c r="AC98" s="47" t="str">
        <f aca="false">IF($C98="","",IF($F98="","",IF($E98="","укажите продавца; ",IF(OR($F98&lt;INDEX(ИНФА!$N$5:$N$19,MATCH($C98,ИНФА!$I$5:$I$19,0)),$F98&gt;INDEX(ИНФА!$M$5:$M$19,MATCH($C98,ИНФА!$I$5:$I$19,0))),"цена покупки вне коридора! ","")))&amp;IF($U98="","",IF(OR($V98="",$T98=""),"укажите цикл и цену продажи; ",IF(OR($V98&lt;INDEX(ИНФА!$N$5:$N$19,MATCH($C98,ИНФА!$I$5:$I$19,0)),$V98&gt;INDEX(ИНФА!$M$5:$M$19,MATCH($C98,ИНФА!$I$5:$I$19,0))),"цена продажи вне коридора! ","")))&amp;IF(AND($T98="",COUNTIFS($C$5:$C98,$C98,$T$5:$T98,"")&gt;INDEX(ИНФА!$Q$5:$Q$19,MATCH($C98,ИНФА!$I$5:$I$19,0))),"лотов нет! ","")&amp;IF(AND($E98&lt;&gt;"",$F98=""),"укажите цену сделки; ","")&amp;IF(AND(N($H98)&gt;0,OR($AD98="",$AD98="Профессия"),OR($H98&gt;ИНФА!$F$29,$I98&lt;INDEX(ИНФА!$N$5:$N$19,MATCH($C98,ИНФА!$I$5:$I$19,0))+ИНФА!$F$30)),"скидка больше лимита или цена ниже выкупа + 500! ","")&amp;IF($AE98="","",IF(IFERROR(INDEX($B$5:$B$204,MATCH($AE98,$A$5:$A$204,0))=$B98,TRUE()),"бизнес-пара — только со зданием другой компании; ",""))&amp;IF($Q98="","",IF(IFERROR(INDEX(НАУКА!$B$5:$B$44,MATCH($Q98,НАУКА!$A$5:$A$44,0))&lt;&gt;$B98,FALSE()),"патент другой компании — нужна лицензия или соглашение; ","")))</f>
        <v/>
      </c>
      <c r="AD98" s="44"/>
      <c r="AE98" s="44"/>
      <c r="AF98" s="38" t="str">
        <f aca="false">IF($C98="","",IF(AND($W98=1,OR($C98="Дом",$C98="Кафе")),ИНФА!$F$17*(COUNTIFS($B$5:$B98,$B98,$C$5:$C98,$C98,$W$5:$W98,1)&lt;=COUNTIFS($B$5:$B$204,$B98,$C$5:$C$204,"Парк",$W$5:$W$204,1)),0))</f>
        <v/>
      </c>
      <c r="AG98" s="38" t="str">
        <f aca="false">IF($C98="","",IF($W98=1,IF(OR(AND($AE98&lt;&gt;"",IFERROR(INDEX($W$5:$W$204,MATCH($AE98,$A$5:$A$204,0))=1,FALSE()),IFERROR(INDEX($B$5:$B$204,MATCH($AE98,$A$5:$A$204,0))&lt;&gt;$B98,FALSE())),COUNTIFS($AE$5:$AE$204,$A98,$W$5:$W$204,1,$B$5:$B$204,"&lt;&gt;"&amp;$B98)&gt;0),ИНФА!$F$31,0),0))</f>
        <v/>
      </c>
    </row>
    <row r="99" customFormat="false" ht="15" hidden="false" customHeight="false" outlineLevel="0" collapsed="false">
      <c r="A99" s="15" t="n">
        <v>95</v>
      </c>
      <c r="B99" s="44"/>
      <c r="C99" s="44"/>
      <c r="D99" s="44"/>
      <c r="E99" s="44"/>
      <c r="F99" s="43"/>
      <c r="G99" s="38" t="str">
        <f aca="false">IF($C99="","",IF($F99&lt;&gt;"",$F99,INDEX(ИНФА!$M$5:$M$19,MATCH($C99,ИНФА!$I$5:$I$19,0))))</f>
        <v/>
      </c>
      <c r="H99" s="43"/>
      <c r="I99" s="38" t="str">
        <f aca="false">IF($C99="","",G99-N(H99))</f>
        <v/>
      </c>
      <c r="J99" s="37" t="str">
        <f aca="false">IF($C99="","",INDEX(ИНФА!$J$5:$J$19,MATCH($C99,ИНФА!$I$5:$I$19,0)))</f>
        <v/>
      </c>
      <c r="K99" s="37" t="str">
        <f aca="false">IF($C99="","",INDEX(ИНФА!$K$5:$K$19,MATCH($C99,ИНФА!$I$5:$I$19,0)))</f>
        <v/>
      </c>
      <c r="L99" s="38" t="str">
        <f aca="false">IF($C99="","",INDEX(ИНФА!$O$5:$O$19,MATCH($C99,ИНФА!$I$5:$I$19,0)))</f>
        <v/>
      </c>
      <c r="M99" s="38" t="str">
        <f aca="false">IF($C99="","",INDEX(ИНФА!$P$5:$P$19,MATCH($C99,ИНФА!$I$5:$I$19,0)))</f>
        <v/>
      </c>
      <c r="N99" s="44"/>
      <c r="O99" s="48" t="n">
        <f aca="false">IF(OR($C99="",$N99=""),1,IF(AND($J99="Услуги",IFERROR(INDEX($C$5:$C$204,MATCH($N99,$A$5:$A$204,0))=INDEX(ИНФА!$L$5:$L$19,MATCH($C99,ИНФА!$I$5:$I$19,0)),FALSE()),IFERROR(INDEX($W$5:$W$204,MATCH($N99,$A$5:$A$204,0))=1,FALSE()),COUNTIF($N$5:$N99,$N99)&lt;=ИНФА!$F$16),1+ИНФА!$F$15,1))</f>
        <v>1</v>
      </c>
      <c r="P99" s="47" t="str">
        <f aca="false">IF($C99="","",IF($J99&lt;&gt;"Услуги","",IF($N99="","нет поставщика — нужен "&amp;INDEX(ИНФА!$L$5:$L$19,MATCH($C99,ИНФА!$I$5:$I$19,0)),IF($O99&gt;1,"✓ поставка работает (+50%)",IF(IFERROR(INDEX($C$5:$C$204,MATCH($N99,$A$5:$A$204,0))&lt;&gt;INDEX(ИНФА!$L$5:$L$19,MATCH($C99,ИНФА!$I$5:$I$19,0)),TRUE()),"не тот поставщик: нужен "&amp;INDEX(ИНФА!$L$5:$L$19,MATCH($C99,ИНФА!$I$5:$I$19,0)),IF(COUNTIF($N$5:$N99,$N99)&gt;ИНФА!$F$16,"поставщик перегружен","поставщик ещё не работает или продан"))))))</f>
        <v/>
      </c>
      <c r="Q99" s="44"/>
      <c r="R99" s="48" t="str">
        <f aca="false">IF($C99="","",IF($Q99="",1,IFERROR(INDEX(НАУКА!$K$5:$K$44,MATCH($Q99,НАУКА!$A$5:$A$44,0)),1)))</f>
        <v/>
      </c>
      <c r="S99" s="37" t="str">
        <f aca="false">IF($Q99="","",IFERROR(INDEX(НАУКА!$G$5:$G$44,MATCH($Q99,НАУКА!$A$5:$A$44,0)),""))</f>
        <v/>
      </c>
      <c r="T99" s="44"/>
      <c r="U99" s="44"/>
      <c r="V99" s="43"/>
      <c r="W99" s="37" t="n">
        <f aca="false">IF(OR($C99="",$D99=""),0,IF(AND($D99&lt;ИНФА!$F$5,OR($T99="",$T99&gt;=ИНФА!$F$5)),1,0))</f>
        <v>0</v>
      </c>
      <c r="X99" s="46" t="str">
        <f aca="false">IF($C99="","",INDEX(СОБЫТИЯ!$B$5:$K$8,MATCH($K99,СОБЫТИЯ!$A$5:$A$8,0),ИНФА!$F$5))</f>
        <v/>
      </c>
      <c r="Y99" s="42" t="str">
        <f aca="false">IF($C99="","",IF($W99=1,ROUND($L99*$O99*IF(AND($Q99&lt;&gt;"",$S99&lt;&gt;""),IF($S99&lt;ИНФА!$F$5,$R99,1),1)*$X99,0)-$M99+N($AF99)+N($AG99),0))</f>
        <v/>
      </c>
      <c r="Z99" s="38" t="str">
        <f aca="false">IF($C99="","",IF($T99="",INDEX(ИНФА!$M$5:$M$19,MATCH($C99,ИНФА!$I$5:$I$19,0)),0))</f>
        <v/>
      </c>
      <c r="AA99" s="38" t="str">
        <f aca="false">IF(OR($C99="",$T99=""),"",IF($V99&lt;&gt;"",$V99,INDEX(ИНФА!$N$5:$N$19,MATCH($C99,ИНФА!$I$5:$I$19,0))))</f>
        <v/>
      </c>
      <c r="AB99" s="37" t="str">
        <f aca="false">IF($C99="","",IF($T99&lt;&gt;"",IF($U99&lt;&gt;"","продано компании "&amp;$U99&amp;" в цикле "&amp;$T99,"продано Инфраструктуре в цикле "&amp;$T99),IF($D99&gt;=ИНФА!$F$5,"доход со следующего цикла","приносит доход")))</f>
        <v/>
      </c>
      <c r="AC99" s="47" t="str">
        <f aca="false">IF($C99="","",IF($F99="","",IF($E99="","укажите продавца; ",IF(OR($F99&lt;INDEX(ИНФА!$N$5:$N$19,MATCH($C99,ИНФА!$I$5:$I$19,0)),$F99&gt;INDEX(ИНФА!$M$5:$M$19,MATCH($C99,ИНФА!$I$5:$I$19,0))),"цена покупки вне коридора! ","")))&amp;IF($U99="","",IF(OR($V99="",$T99=""),"укажите цикл и цену продажи; ",IF(OR($V99&lt;INDEX(ИНФА!$N$5:$N$19,MATCH($C99,ИНФА!$I$5:$I$19,0)),$V99&gt;INDEX(ИНФА!$M$5:$M$19,MATCH($C99,ИНФА!$I$5:$I$19,0))),"цена продажи вне коридора! ","")))&amp;IF(AND($T99="",COUNTIFS($C$5:$C99,$C99,$T$5:$T99,"")&gt;INDEX(ИНФА!$Q$5:$Q$19,MATCH($C99,ИНФА!$I$5:$I$19,0))),"лотов нет! ","")&amp;IF(AND($E99&lt;&gt;"",$F99=""),"укажите цену сделки; ","")&amp;IF(AND(N($H99)&gt;0,OR($AD99="",$AD99="Профессия"),OR($H99&gt;ИНФА!$F$29,$I99&lt;INDEX(ИНФА!$N$5:$N$19,MATCH($C99,ИНФА!$I$5:$I$19,0))+ИНФА!$F$30)),"скидка больше лимита или цена ниже выкупа + 500! ","")&amp;IF($AE99="","",IF(IFERROR(INDEX($B$5:$B$204,MATCH($AE99,$A$5:$A$204,0))=$B99,TRUE()),"бизнес-пара — только со зданием другой компании; ",""))&amp;IF($Q99="","",IF(IFERROR(INDEX(НАУКА!$B$5:$B$44,MATCH($Q99,НАУКА!$A$5:$A$44,0))&lt;&gt;$B99,FALSE()),"патент другой компании — нужна лицензия или соглашение; ","")))</f>
        <v/>
      </c>
      <c r="AD99" s="44"/>
      <c r="AE99" s="44"/>
      <c r="AF99" s="38" t="str">
        <f aca="false">IF($C99="","",IF(AND($W99=1,OR($C99="Дом",$C99="Кафе")),ИНФА!$F$17*(COUNTIFS($B$5:$B99,$B99,$C$5:$C99,$C99,$W$5:$W99,1)&lt;=COUNTIFS($B$5:$B$204,$B99,$C$5:$C$204,"Парк",$W$5:$W$204,1)),0))</f>
        <v/>
      </c>
      <c r="AG99" s="38" t="str">
        <f aca="false">IF($C99="","",IF($W99=1,IF(OR(AND($AE99&lt;&gt;"",IFERROR(INDEX($W$5:$W$204,MATCH($AE99,$A$5:$A$204,0))=1,FALSE()),IFERROR(INDEX($B$5:$B$204,MATCH($AE99,$A$5:$A$204,0))&lt;&gt;$B99,FALSE())),COUNTIFS($AE$5:$AE$204,$A99,$W$5:$W$204,1,$B$5:$B$204,"&lt;&gt;"&amp;$B99)&gt;0),ИНФА!$F$31,0),0))</f>
        <v/>
      </c>
    </row>
    <row r="100" customFormat="false" ht="15" hidden="false" customHeight="false" outlineLevel="0" collapsed="false">
      <c r="A100" s="15" t="n">
        <v>96</v>
      </c>
      <c r="B100" s="44"/>
      <c r="C100" s="44"/>
      <c r="D100" s="44"/>
      <c r="E100" s="44"/>
      <c r="F100" s="43"/>
      <c r="G100" s="38" t="str">
        <f aca="false">IF($C100="","",IF($F100&lt;&gt;"",$F100,INDEX(ИНФА!$M$5:$M$19,MATCH($C100,ИНФА!$I$5:$I$19,0))))</f>
        <v/>
      </c>
      <c r="H100" s="43"/>
      <c r="I100" s="38" t="str">
        <f aca="false">IF($C100="","",G100-N(H100))</f>
        <v/>
      </c>
      <c r="J100" s="37" t="str">
        <f aca="false">IF($C100="","",INDEX(ИНФА!$J$5:$J$19,MATCH($C100,ИНФА!$I$5:$I$19,0)))</f>
        <v/>
      </c>
      <c r="K100" s="37" t="str">
        <f aca="false">IF($C100="","",INDEX(ИНФА!$K$5:$K$19,MATCH($C100,ИНФА!$I$5:$I$19,0)))</f>
        <v/>
      </c>
      <c r="L100" s="38" t="str">
        <f aca="false">IF($C100="","",INDEX(ИНФА!$O$5:$O$19,MATCH($C100,ИНФА!$I$5:$I$19,0)))</f>
        <v/>
      </c>
      <c r="M100" s="38" t="str">
        <f aca="false">IF($C100="","",INDEX(ИНФА!$P$5:$P$19,MATCH($C100,ИНФА!$I$5:$I$19,0)))</f>
        <v/>
      </c>
      <c r="N100" s="44"/>
      <c r="O100" s="48" t="n">
        <f aca="false">IF(OR($C100="",$N100=""),1,IF(AND($J100="Услуги",IFERROR(INDEX($C$5:$C$204,MATCH($N100,$A$5:$A$204,0))=INDEX(ИНФА!$L$5:$L$19,MATCH($C100,ИНФА!$I$5:$I$19,0)),FALSE()),IFERROR(INDEX($W$5:$W$204,MATCH($N100,$A$5:$A$204,0))=1,FALSE()),COUNTIF($N$5:$N100,$N100)&lt;=ИНФА!$F$16),1+ИНФА!$F$15,1))</f>
        <v>1</v>
      </c>
      <c r="P100" s="47" t="str">
        <f aca="false">IF($C100="","",IF($J100&lt;&gt;"Услуги","",IF($N100="","нет поставщика — нужен "&amp;INDEX(ИНФА!$L$5:$L$19,MATCH($C100,ИНФА!$I$5:$I$19,0)),IF($O100&gt;1,"✓ поставка работает (+50%)",IF(IFERROR(INDEX($C$5:$C$204,MATCH($N100,$A$5:$A$204,0))&lt;&gt;INDEX(ИНФА!$L$5:$L$19,MATCH($C100,ИНФА!$I$5:$I$19,0)),TRUE()),"не тот поставщик: нужен "&amp;INDEX(ИНФА!$L$5:$L$19,MATCH($C100,ИНФА!$I$5:$I$19,0)),IF(COUNTIF($N$5:$N100,$N100)&gt;ИНФА!$F$16,"поставщик перегружен","поставщик ещё не работает или продан"))))))</f>
        <v/>
      </c>
      <c r="Q100" s="44"/>
      <c r="R100" s="48" t="str">
        <f aca="false">IF($C100="","",IF($Q100="",1,IFERROR(INDEX(НАУКА!$K$5:$K$44,MATCH($Q100,НАУКА!$A$5:$A$44,0)),1)))</f>
        <v/>
      </c>
      <c r="S100" s="37" t="str">
        <f aca="false">IF($Q100="","",IFERROR(INDEX(НАУКА!$G$5:$G$44,MATCH($Q100,НАУКА!$A$5:$A$44,0)),""))</f>
        <v/>
      </c>
      <c r="T100" s="44"/>
      <c r="U100" s="44"/>
      <c r="V100" s="43"/>
      <c r="W100" s="37" t="n">
        <f aca="false">IF(OR($C100="",$D100=""),0,IF(AND($D100&lt;ИНФА!$F$5,OR($T100="",$T100&gt;=ИНФА!$F$5)),1,0))</f>
        <v>0</v>
      </c>
      <c r="X100" s="46" t="str">
        <f aca="false">IF($C100="","",INDEX(СОБЫТИЯ!$B$5:$K$8,MATCH($K100,СОБЫТИЯ!$A$5:$A$8,0),ИНФА!$F$5))</f>
        <v/>
      </c>
      <c r="Y100" s="42" t="str">
        <f aca="false">IF($C100="","",IF($W100=1,ROUND($L100*$O100*IF(AND($Q100&lt;&gt;"",$S100&lt;&gt;""),IF($S100&lt;ИНФА!$F$5,$R100,1),1)*$X100,0)-$M100+N($AF100)+N($AG100),0))</f>
        <v/>
      </c>
      <c r="Z100" s="38" t="str">
        <f aca="false">IF($C100="","",IF($T100="",INDEX(ИНФА!$M$5:$M$19,MATCH($C100,ИНФА!$I$5:$I$19,0)),0))</f>
        <v/>
      </c>
      <c r="AA100" s="38" t="str">
        <f aca="false">IF(OR($C100="",$T100=""),"",IF($V100&lt;&gt;"",$V100,INDEX(ИНФА!$N$5:$N$19,MATCH($C100,ИНФА!$I$5:$I$19,0))))</f>
        <v/>
      </c>
      <c r="AB100" s="37" t="str">
        <f aca="false">IF($C100="","",IF($T100&lt;&gt;"",IF($U100&lt;&gt;"","продано компании "&amp;$U100&amp;" в цикле "&amp;$T100,"продано Инфраструктуре в цикле "&amp;$T100),IF($D100&gt;=ИНФА!$F$5,"доход со следующего цикла","приносит доход")))</f>
        <v/>
      </c>
      <c r="AC100" s="47" t="str">
        <f aca="false">IF($C100="","",IF($F100="","",IF($E100="","укажите продавца; ",IF(OR($F100&lt;INDEX(ИНФА!$N$5:$N$19,MATCH($C100,ИНФА!$I$5:$I$19,0)),$F100&gt;INDEX(ИНФА!$M$5:$M$19,MATCH($C100,ИНФА!$I$5:$I$19,0))),"цена покупки вне коридора! ","")))&amp;IF($U100="","",IF(OR($V100="",$T100=""),"укажите цикл и цену продажи; ",IF(OR($V100&lt;INDEX(ИНФА!$N$5:$N$19,MATCH($C100,ИНФА!$I$5:$I$19,0)),$V100&gt;INDEX(ИНФА!$M$5:$M$19,MATCH($C100,ИНФА!$I$5:$I$19,0))),"цена продажи вне коридора! ","")))&amp;IF(AND($T100="",COUNTIFS($C$5:$C100,$C100,$T$5:$T100,"")&gt;INDEX(ИНФА!$Q$5:$Q$19,MATCH($C100,ИНФА!$I$5:$I$19,0))),"лотов нет! ","")&amp;IF(AND($E100&lt;&gt;"",$F100=""),"укажите цену сделки; ","")&amp;IF(AND(N($H100)&gt;0,OR($AD100="",$AD100="Профессия"),OR($H100&gt;ИНФА!$F$29,$I100&lt;INDEX(ИНФА!$N$5:$N$19,MATCH($C100,ИНФА!$I$5:$I$19,0))+ИНФА!$F$30)),"скидка больше лимита или цена ниже выкупа + 500! ","")&amp;IF($AE100="","",IF(IFERROR(INDEX($B$5:$B$204,MATCH($AE100,$A$5:$A$204,0))=$B100,TRUE()),"бизнес-пара — только со зданием другой компании; ",""))&amp;IF($Q100="","",IF(IFERROR(INDEX(НАУКА!$B$5:$B$44,MATCH($Q100,НАУКА!$A$5:$A$44,0))&lt;&gt;$B100,FALSE()),"патент другой компании — нужна лицензия или соглашение; ","")))</f>
        <v/>
      </c>
      <c r="AD100" s="44"/>
      <c r="AE100" s="44"/>
      <c r="AF100" s="38" t="str">
        <f aca="false">IF($C100="","",IF(AND($W100=1,OR($C100="Дом",$C100="Кафе")),ИНФА!$F$17*(COUNTIFS($B$5:$B100,$B100,$C$5:$C100,$C100,$W$5:$W100,1)&lt;=COUNTIFS($B$5:$B$204,$B100,$C$5:$C$204,"Парк",$W$5:$W$204,1)),0))</f>
        <v/>
      </c>
      <c r="AG100" s="38" t="str">
        <f aca="false">IF($C100="","",IF($W100=1,IF(OR(AND($AE100&lt;&gt;"",IFERROR(INDEX($W$5:$W$204,MATCH($AE100,$A$5:$A$204,0))=1,FALSE()),IFERROR(INDEX($B$5:$B$204,MATCH($AE100,$A$5:$A$204,0))&lt;&gt;$B100,FALSE())),COUNTIFS($AE$5:$AE$204,$A100,$W$5:$W$204,1,$B$5:$B$204,"&lt;&gt;"&amp;$B100)&gt;0),ИНФА!$F$31,0),0))</f>
        <v/>
      </c>
    </row>
    <row r="101" customFormat="false" ht="15" hidden="false" customHeight="false" outlineLevel="0" collapsed="false">
      <c r="A101" s="15" t="n">
        <v>97</v>
      </c>
      <c r="B101" s="44"/>
      <c r="C101" s="44"/>
      <c r="D101" s="44"/>
      <c r="E101" s="44"/>
      <c r="F101" s="43"/>
      <c r="G101" s="38" t="str">
        <f aca="false">IF($C101="","",IF($F101&lt;&gt;"",$F101,INDEX(ИНФА!$M$5:$M$19,MATCH($C101,ИНФА!$I$5:$I$19,0))))</f>
        <v/>
      </c>
      <c r="H101" s="43"/>
      <c r="I101" s="38" t="str">
        <f aca="false">IF($C101="","",G101-N(H101))</f>
        <v/>
      </c>
      <c r="J101" s="37" t="str">
        <f aca="false">IF($C101="","",INDEX(ИНФА!$J$5:$J$19,MATCH($C101,ИНФА!$I$5:$I$19,0)))</f>
        <v/>
      </c>
      <c r="K101" s="37" t="str">
        <f aca="false">IF($C101="","",INDEX(ИНФА!$K$5:$K$19,MATCH($C101,ИНФА!$I$5:$I$19,0)))</f>
        <v/>
      </c>
      <c r="L101" s="38" t="str">
        <f aca="false">IF($C101="","",INDEX(ИНФА!$O$5:$O$19,MATCH($C101,ИНФА!$I$5:$I$19,0)))</f>
        <v/>
      </c>
      <c r="M101" s="38" t="str">
        <f aca="false">IF($C101="","",INDEX(ИНФА!$P$5:$P$19,MATCH($C101,ИНФА!$I$5:$I$19,0)))</f>
        <v/>
      </c>
      <c r="N101" s="44"/>
      <c r="O101" s="48" t="n">
        <f aca="false">IF(OR($C101="",$N101=""),1,IF(AND($J101="Услуги",IFERROR(INDEX($C$5:$C$204,MATCH($N101,$A$5:$A$204,0))=INDEX(ИНФА!$L$5:$L$19,MATCH($C101,ИНФА!$I$5:$I$19,0)),FALSE()),IFERROR(INDEX($W$5:$W$204,MATCH($N101,$A$5:$A$204,0))=1,FALSE()),COUNTIF($N$5:$N101,$N101)&lt;=ИНФА!$F$16),1+ИНФА!$F$15,1))</f>
        <v>1</v>
      </c>
      <c r="P101" s="47" t="str">
        <f aca="false">IF($C101="","",IF($J101&lt;&gt;"Услуги","",IF($N101="","нет поставщика — нужен "&amp;INDEX(ИНФА!$L$5:$L$19,MATCH($C101,ИНФА!$I$5:$I$19,0)),IF($O101&gt;1,"✓ поставка работает (+50%)",IF(IFERROR(INDEX($C$5:$C$204,MATCH($N101,$A$5:$A$204,0))&lt;&gt;INDEX(ИНФА!$L$5:$L$19,MATCH($C101,ИНФА!$I$5:$I$19,0)),TRUE()),"не тот поставщик: нужен "&amp;INDEX(ИНФА!$L$5:$L$19,MATCH($C101,ИНФА!$I$5:$I$19,0)),IF(COUNTIF($N$5:$N101,$N101)&gt;ИНФА!$F$16,"поставщик перегружен","поставщик ещё не работает или продан"))))))</f>
        <v/>
      </c>
      <c r="Q101" s="44"/>
      <c r="R101" s="48" t="str">
        <f aca="false">IF($C101="","",IF($Q101="",1,IFERROR(INDEX(НАУКА!$K$5:$K$44,MATCH($Q101,НАУКА!$A$5:$A$44,0)),1)))</f>
        <v/>
      </c>
      <c r="S101" s="37" t="str">
        <f aca="false">IF($Q101="","",IFERROR(INDEX(НАУКА!$G$5:$G$44,MATCH($Q101,НАУКА!$A$5:$A$44,0)),""))</f>
        <v/>
      </c>
      <c r="T101" s="44"/>
      <c r="U101" s="44"/>
      <c r="V101" s="43"/>
      <c r="W101" s="37" t="n">
        <f aca="false">IF(OR($C101="",$D101=""),0,IF(AND($D101&lt;ИНФА!$F$5,OR($T101="",$T101&gt;=ИНФА!$F$5)),1,0))</f>
        <v>0</v>
      </c>
      <c r="X101" s="46" t="str">
        <f aca="false">IF($C101="","",INDEX(СОБЫТИЯ!$B$5:$K$8,MATCH($K101,СОБЫТИЯ!$A$5:$A$8,0),ИНФА!$F$5))</f>
        <v/>
      </c>
      <c r="Y101" s="42" t="str">
        <f aca="false">IF($C101="","",IF($W101=1,ROUND($L101*$O101*IF(AND($Q101&lt;&gt;"",$S101&lt;&gt;""),IF($S101&lt;ИНФА!$F$5,$R101,1),1)*$X101,0)-$M101+N($AF101)+N($AG101),0))</f>
        <v/>
      </c>
      <c r="Z101" s="38" t="str">
        <f aca="false">IF($C101="","",IF($T101="",INDEX(ИНФА!$M$5:$M$19,MATCH($C101,ИНФА!$I$5:$I$19,0)),0))</f>
        <v/>
      </c>
      <c r="AA101" s="38" t="str">
        <f aca="false">IF(OR($C101="",$T101=""),"",IF($V101&lt;&gt;"",$V101,INDEX(ИНФА!$N$5:$N$19,MATCH($C101,ИНФА!$I$5:$I$19,0))))</f>
        <v/>
      </c>
      <c r="AB101" s="37" t="str">
        <f aca="false">IF($C101="","",IF($T101&lt;&gt;"",IF($U101&lt;&gt;"","продано компании "&amp;$U101&amp;" в цикле "&amp;$T101,"продано Инфраструктуре в цикле "&amp;$T101),IF($D101&gt;=ИНФА!$F$5,"доход со следующего цикла","приносит доход")))</f>
        <v/>
      </c>
      <c r="AC101" s="47" t="str">
        <f aca="false">IF($C101="","",IF($F101="","",IF($E101="","укажите продавца; ",IF(OR($F101&lt;INDEX(ИНФА!$N$5:$N$19,MATCH($C101,ИНФА!$I$5:$I$19,0)),$F101&gt;INDEX(ИНФА!$M$5:$M$19,MATCH($C101,ИНФА!$I$5:$I$19,0))),"цена покупки вне коридора! ","")))&amp;IF($U101="","",IF(OR($V101="",$T101=""),"укажите цикл и цену продажи; ",IF(OR($V101&lt;INDEX(ИНФА!$N$5:$N$19,MATCH($C101,ИНФА!$I$5:$I$19,0)),$V101&gt;INDEX(ИНФА!$M$5:$M$19,MATCH($C101,ИНФА!$I$5:$I$19,0))),"цена продажи вне коридора! ","")))&amp;IF(AND($T101="",COUNTIFS($C$5:$C101,$C101,$T$5:$T101,"")&gt;INDEX(ИНФА!$Q$5:$Q$19,MATCH($C101,ИНФА!$I$5:$I$19,0))),"лотов нет! ","")&amp;IF(AND($E101&lt;&gt;"",$F101=""),"укажите цену сделки; ","")&amp;IF(AND(N($H101)&gt;0,OR($AD101="",$AD101="Профессия"),OR($H101&gt;ИНФА!$F$29,$I101&lt;INDEX(ИНФА!$N$5:$N$19,MATCH($C101,ИНФА!$I$5:$I$19,0))+ИНФА!$F$30)),"скидка больше лимита или цена ниже выкупа + 500! ","")&amp;IF($AE101="","",IF(IFERROR(INDEX($B$5:$B$204,MATCH($AE101,$A$5:$A$204,0))=$B101,TRUE()),"бизнес-пара — только со зданием другой компании; ",""))&amp;IF($Q101="","",IF(IFERROR(INDEX(НАУКА!$B$5:$B$44,MATCH($Q101,НАУКА!$A$5:$A$44,0))&lt;&gt;$B101,FALSE()),"патент другой компании — нужна лицензия или соглашение; ","")))</f>
        <v/>
      </c>
      <c r="AD101" s="44"/>
      <c r="AE101" s="44"/>
      <c r="AF101" s="38" t="str">
        <f aca="false">IF($C101="","",IF(AND($W101=1,OR($C101="Дом",$C101="Кафе")),ИНФА!$F$17*(COUNTIFS($B$5:$B101,$B101,$C$5:$C101,$C101,$W$5:$W101,1)&lt;=COUNTIFS($B$5:$B$204,$B101,$C$5:$C$204,"Парк",$W$5:$W$204,1)),0))</f>
        <v/>
      </c>
      <c r="AG101" s="38" t="str">
        <f aca="false">IF($C101="","",IF($W101=1,IF(OR(AND($AE101&lt;&gt;"",IFERROR(INDEX($W$5:$W$204,MATCH($AE101,$A$5:$A$204,0))=1,FALSE()),IFERROR(INDEX($B$5:$B$204,MATCH($AE101,$A$5:$A$204,0))&lt;&gt;$B101,FALSE())),COUNTIFS($AE$5:$AE$204,$A101,$W$5:$W$204,1,$B$5:$B$204,"&lt;&gt;"&amp;$B101)&gt;0),ИНФА!$F$31,0),0))</f>
        <v/>
      </c>
    </row>
    <row r="102" customFormat="false" ht="15" hidden="false" customHeight="false" outlineLevel="0" collapsed="false">
      <c r="A102" s="15" t="n">
        <v>98</v>
      </c>
      <c r="B102" s="44"/>
      <c r="C102" s="44"/>
      <c r="D102" s="44"/>
      <c r="E102" s="44"/>
      <c r="F102" s="43"/>
      <c r="G102" s="38" t="str">
        <f aca="false">IF($C102="","",IF($F102&lt;&gt;"",$F102,INDEX(ИНФА!$M$5:$M$19,MATCH($C102,ИНФА!$I$5:$I$19,0))))</f>
        <v/>
      </c>
      <c r="H102" s="43"/>
      <c r="I102" s="38" t="str">
        <f aca="false">IF($C102="","",G102-N(H102))</f>
        <v/>
      </c>
      <c r="J102" s="37" t="str">
        <f aca="false">IF($C102="","",INDEX(ИНФА!$J$5:$J$19,MATCH($C102,ИНФА!$I$5:$I$19,0)))</f>
        <v/>
      </c>
      <c r="K102" s="37" t="str">
        <f aca="false">IF($C102="","",INDEX(ИНФА!$K$5:$K$19,MATCH($C102,ИНФА!$I$5:$I$19,0)))</f>
        <v/>
      </c>
      <c r="L102" s="38" t="str">
        <f aca="false">IF($C102="","",INDEX(ИНФА!$O$5:$O$19,MATCH($C102,ИНФА!$I$5:$I$19,0)))</f>
        <v/>
      </c>
      <c r="M102" s="38" t="str">
        <f aca="false">IF($C102="","",INDEX(ИНФА!$P$5:$P$19,MATCH($C102,ИНФА!$I$5:$I$19,0)))</f>
        <v/>
      </c>
      <c r="N102" s="44"/>
      <c r="O102" s="48" t="n">
        <f aca="false">IF(OR($C102="",$N102=""),1,IF(AND($J102="Услуги",IFERROR(INDEX($C$5:$C$204,MATCH($N102,$A$5:$A$204,0))=INDEX(ИНФА!$L$5:$L$19,MATCH($C102,ИНФА!$I$5:$I$19,0)),FALSE()),IFERROR(INDEX($W$5:$W$204,MATCH($N102,$A$5:$A$204,0))=1,FALSE()),COUNTIF($N$5:$N102,$N102)&lt;=ИНФА!$F$16),1+ИНФА!$F$15,1))</f>
        <v>1</v>
      </c>
      <c r="P102" s="47" t="str">
        <f aca="false">IF($C102="","",IF($J102&lt;&gt;"Услуги","",IF($N102="","нет поставщика — нужен "&amp;INDEX(ИНФА!$L$5:$L$19,MATCH($C102,ИНФА!$I$5:$I$19,0)),IF($O102&gt;1,"✓ поставка работает (+50%)",IF(IFERROR(INDEX($C$5:$C$204,MATCH($N102,$A$5:$A$204,0))&lt;&gt;INDEX(ИНФА!$L$5:$L$19,MATCH($C102,ИНФА!$I$5:$I$19,0)),TRUE()),"не тот поставщик: нужен "&amp;INDEX(ИНФА!$L$5:$L$19,MATCH($C102,ИНФА!$I$5:$I$19,0)),IF(COUNTIF($N$5:$N102,$N102)&gt;ИНФА!$F$16,"поставщик перегружен","поставщик ещё не работает или продан"))))))</f>
        <v/>
      </c>
      <c r="Q102" s="44"/>
      <c r="R102" s="48" t="str">
        <f aca="false">IF($C102="","",IF($Q102="",1,IFERROR(INDEX(НАУКА!$K$5:$K$44,MATCH($Q102,НАУКА!$A$5:$A$44,0)),1)))</f>
        <v/>
      </c>
      <c r="S102" s="37" t="str">
        <f aca="false">IF($Q102="","",IFERROR(INDEX(НАУКА!$G$5:$G$44,MATCH($Q102,НАУКА!$A$5:$A$44,0)),""))</f>
        <v/>
      </c>
      <c r="T102" s="44"/>
      <c r="U102" s="44"/>
      <c r="V102" s="43"/>
      <c r="W102" s="37" t="n">
        <f aca="false">IF(OR($C102="",$D102=""),0,IF(AND($D102&lt;ИНФА!$F$5,OR($T102="",$T102&gt;=ИНФА!$F$5)),1,0))</f>
        <v>0</v>
      </c>
      <c r="X102" s="46" t="str">
        <f aca="false">IF($C102="","",INDEX(СОБЫТИЯ!$B$5:$K$8,MATCH($K102,СОБЫТИЯ!$A$5:$A$8,0),ИНФА!$F$5))</f>
        <v/>
      </c>
      <c r="Y102" s="42" t="str">
        <f aca="false">IF($C102="","",IF($W102=1,ROUND($L102*$O102*IF(AND($Q102&lt;&gt;"",$S102&lt;&gt;""),IF($S102&lt;ИНФА!$F$5,$R102,1),1)*$X102,0)-$M102+N($AF102)+N($AG102),0))</f>
        <v/>
      </c>
      <c r="Z102" s="38" t="str">
        <f aca="false">IF($C102="","",IF($T102="",INDEX(ИНФА!$M$5:$M$19,MATCH($C102,ИНФА!$I$5:$I$19,0)),0))</f>
        <v/>
      </c>
      <c r="AA102" s="38" t="str">
        <f aca="false">IF(OR($C102="",$T102=""),"",IF($V102&lt;&gt;"",$V102,INDEX(ИНФА!$N$5:$N$19,MATCH($C102,ИНФА!$I$5:$I$19,0))))</f>
        <v/>
      </c>
      <c r="AB102" s="37" t="str">
        <f aca="false">IF($C102="","",IF($T102&lt;&gt;"",IF($U102&lt;&gt;"","продано компании "&amp;$U102&amp;" в цикле "&amp;$T102,"продано Инфраструктуре в цикле "&amp;$T102),IF($D102&gt;=ИНФА!$F$5,"доход со следующего цикла","приносит доход")))</f>
        <v/>
      </c>
      <c r="AC102" s="47" t="str">
        <f aca="false">IF($C102="","",IF($F102="","",IF($E102="","укажите продавца; ",IF(OR($F102&lt;INDEX(ИНФА!$N$5:$N$19,MATCH($C102,ИНФА!$I$5:$I$19,0)),$F102&gt;INDEX(ИНФА!$M$5:$M$19,MATCH($C102,ИНФА!$I$5:$I$19,0))),"цена покупки вне коридора! ","")))&amp;IF($U102="","",IF(OR($V102="",$T102=""),"укажите цикл и цену продажи; ",IF(OR($V102&lt;INDEX(ИНФА!$N$5:$N$19,MATCH($C102,ИНФА!$I$5:$I$19,0)),$V102&gt;INDEX(ИНФА!$M$5:$M$19,MATCH($C102,ИНФА!$I$5:$I$19,0))),"цена продажи вне коридора! ","")))&amp;IF(AND($T102="",COUNTIFS($C$5:$C102,$C102,$T$5:$T102,"")&gt;INDEX(ИНФА!$Q$5:$Q$19,MATCH($C102,ИНФА!$I$5:$I$19,0))),"лотов нет! ","")&amp;IF(AND($E102&lt;&gt;"",$F102=""),"укажите цену сделки; ","")&amp;IF(AND(N($H102)&gt;0,OR($AD102="",$AD102="Профессия"),OR($H102&gt;ИНФА!$F$29,$I102&lt;INDEX(ИНФА!$N$5:$N$19,MATCH($C102,ИНФА!$I$5:$I$19,0))+ИНФА!$F$30)),"скидка больше лимита или цена ниже выкупа + 500! ","")&amp;IF($AE102="","",IF(IFERROR(INDEX($B$5:$B$204,MATCH($AE102,$A$5:$A$204,0))=$B102,TRUE()),"бизнес-пара — только со зданием другой компании; ",""))&amp;IF($Q102="","",IF(IFERROR(INDEX(НАУКА!$B$5:$B$44,MATCH($Q102,НАУКА!$A$5:$A$44,0))&lt;&gt;$B102,FALSE()),"патент другой компании — нужна лицензия или соглашение; ","")))</f>
        <v/>
      </c>
      <c r="AD102" s="44"/>
      <c r="AE102" s="44"/>
      <c r="AF102" s="38" t="str">
        <f aca="false">IF($C102="","",IF(AND($W102=1,OR($C102="Дом",$C102="Кафе")),ИНФА!$F$17*(COUNTIFS($B$5:$B102,$B102,$C$5:$C102,$C102,$W$5:$W102,1)&lt;=COUNTIFS($B$5:$B$204,$B102,$C$5:$C$204,"Парк",$W$5:$W$204,1)),0))</f>
        <v/>
      </c>
      <c r="AG102" s="38" t="str">
        <f aca="false">IF($C102="","",IF($W102=1,IF(OR(AND($AE102&lt;&gt;"",IFERROR(INDEX($W$5:$W$204,MATCH($AE102,$A$5:$A$204,0))=1,FALSE()),IFERROR(INDEX($B$5:$B$204,MATCH($AE102,$A$5:$A$204,0))&lt;&gt;$B102,FALSE())),COUNTIFS($AE$5:$AE$204,$A102,$W$5:$W$204,1,$B$5:$B$204,"&lt;&gt;"&amp;$B102)&gt;0),ИНФА!$F$31,0),0))</f>
        <v/>
      </c>
    </row>
    <row r="103" customFormat="false" ht="15" hidden="false" customHeight="false" outlineLevel="0" collapsed="false">
      <c r="A103" s="15" t="n">
        <v>99</v>
      </c>
      <c r="B103" s="44"/>
      <c r="C103" s="44"/>
      <c r="D103" s="44"/>
      <c r="E103" s="44"/>
      <c r="F103" s="43"/>
      <c r="G103" s="38" t="str">
        <f aca="false">IF($C103="","",IF($F103&lt;&gt;"",$F103,INDEX(ИНФА!$M$5:$M$19,MATCH($C103,ИНФА!$I$5:$I$19,0))))</f>
        <v/>
      </c>
      <c r="H103" s="43"/>
      <c r="I103" s="38" t="str">
        <f aca="false">IF($C103="","",G103-N(H103))</f>
        <v/>
      </c>
      <c r="J103" s="37" t="str">
        <f aca="false">IF($C103="","",INDEX(ИНФА!$J$5:$J$19,MATCH($C103,ИНФА!$I$5:$I$19,0)))</f>
        <v/>
      </c>
      <c r="K103" s="37" t="str">
        <f aca="false">IF($C103="","",INDEX(ИНФА!$K$5:$K$19,MATCH($C103,ИНФА!$I$5:$I$19,0)))</f>
        <v/>
      </c>
      <c r="L103" s="38" t="str">
        <f aca="false">IF($C103="","",INDEX(ИНФА!$O$5:$O$19,MATCH($C103,ИНФА!$I$5:$I$19,0)))</f>
        <v/>
      </c>
      <c r="M103" s="38" t="str">
        <f aca="false">IF($C103="","",INDEX(ИНФА!$P$5:$P$19,MATCH($C103,ИНФА!$I$5:$I$19,0)))</f>
        <v/>
      </c>
      <c r="N103" s="44"/>
      <c r="O103" s="48" t="n">
        <f aca="false">IF(OR($C103="",$N103=""),1,IF(AND($J103="Услуги",IFERROR(INDEX($C$5:$C$204,MATCH($N103,$A$5:$A$204,0))=INDEX(ИНФА!$L$5:$L$19,MATCH($C103,ИНФА!$I$5:$I$19,0)),FALSE()),IFERROR(INDEX($W$5:$W$204,MATCH($N103,$A$5:$A$204,0))=1,FALSE()),COUNTIF($N$5:$N103,$N103)&lt;=ИНФА!$F$16),1+ИНФА!$F$15,1))</f>
        <v>1</v>
      </c>
      <c r="P103" s="47" t="str">
        <f aca="false">IF($C103="","",IF($J103&lt;&gt;"Услуги","",IF($N103="","нет поставщика — нужен "&amp;INDEX(ИНФА!$L$5:$L$19,MATCH($C103,ИНФА!$I$5:$I$19,0)),IF($O103&gt;1,"✓ поставка работает (+50%)",IF(IFERROR(INDEX($C$5:$C$204,MATCH($N103,$A$5:$A$204,0))&lt;&gt;INDEX(ИНФА!$L$5:$L$19,MATCH($C103,ИНФА!$I$5:$I$19,0)),TRUE()),"не тот поставщик: нужен "&amp;INDEX(ИНФА!$L$5:$L$19,MATCH($C103,ИНФА!$I$5:$I$19,0)),IF(COUNTIF($N$5:$N103,$N103)&gt;ИНФА!$F$16,"поставщик перегружен","поставщик ещё не работает или продан"))))))</f>
        <v/>
      </c>
      <c r="Q103" s="44"/>
      <c r="R103" s="48" t="str">
        <f aca="false">IF($C103="","",IF($Q103="",1,IFERROR(INDEX(НАУКА!$K$5:$K$44,MATCH($Q103,НАУКА!$A$5:$A$44,0)),1)))</f>
        <v/>
      </c>
      <c r="S103" s="37" t="str">
        <f aca="false">IF($Q103="","",IFERROR(INDEX(НАУКА!$G$5:$G$44,MATCH($Q103,НАУКА!$A$5:$A$44,0)),""))</f>
        <v/>
      </c>
      <c r="T103" s="44"/>
      <c r="U103" s="44"/>
      <c r="V103" s="43"/>
      <c r="W103" s="37" t="n">
        <f aca="false">IF(OR($C103="",$D103=""),0,IF(AND($D103&lt;ИНФА!$F$5,OR($T103="",$T103&gt;=ИНФА!$F$5)),1,0))</f>
        <v>0</v>
      </c>
      <c r="X103" s="46" t="str">
        <f aca="false">IF($C103="","",INDEX(СОБЫТИЯ!$B$5:$K$8,MATCH($K103,СОБЫТИЯ!$A$5:$A$8,0),ИНФА!$F$5))</f>
        <v/>
      </c>
      <c r="Y103" s="42" t="str">
        <f aca="false">IF($C103="","",IF($W103=1,ROUND($L103*$O103*IF(AND($Q103&lt;&gt;"",$S103&lt;&gt;""),IF($S103&lt;ИНФА!$F$5,$R103,1),1)*$X103,0)-$M103+N($AF103)+N($AG103),0))</f>
        <v/>
      </c>
      <c r="Z103" s="38" t="str">
        <f aca="false">IF($C103="","",IF($T103="",INDEX(ИНФА!$M$5:$M$19,MATCH($C103,ИНФА!$I$5:$I$19,0)),0))</f>
        <v/>
      </c>
      <c r="AA103" s="38" t="str">
        <f aca="false">IF(OR($C103="",$T103=""),"",IF($V103&lt;&gt;"",$V103,INDEX(ИНФА!$N$5:$N$19,MATCH($C103,ИНФА!$I$5:$I$19,0))))</f>
        <v/>
      </c>
      <c r="AB103" s="37" t="str">
        <f aca="false">IF($C103="","",IF($T103&lt;&gt;"",IF($U103&lt;&gt;"","продано компании "&amp;$U103&amp;" в цикле "&amp;$T103,"продано Инфраструктуре в цикле "&amp;$T103),IF($D103&gt;=ИНФА!$F$5,"доход со следующего цикла","приносит доход")))</f>
        <v/>
      </c>
      <c r="AC103" s="47" t="str">
        <f aca="false">IF($C103="","",IF($F103="","",IF($E103="","укажите продавца; ",IF(OR($F103&lt;INDEX(ИНФА!$N$5:$N$19,MATCH($C103,ИНФА!$I$5:$I$19,0)),$F103&gt;INDEX(ИНФА!$M$5:$M$19,MATCH($C103,ИНФА!$I$5:$I$19,0))),"цена покупки вне коридора! ","")))&amp;IF($U103="","",IF(OR($V103="",$T103=""),"укажите цикл и цену продажи; ",IF(OR($V103&lt;INDEX(ИНФА!$N$5:$N$19,MATCH($C103,ИНФА!$I$5:$I$19,0)),$V103&gt;INDEX(ИНФА!$M$5:$M$19,MATCH($C103,ИНФА!$I$5:$I$19,0))),"цена продажи вне коридора! ","")))&amp;IF(AND($T103="",COUNTIFS($C$5:$C103,$C103,$T$5:$T103,"")&gt;INDEX(ИНФА!$Q$5:$Q$19,MATCH($C103,ИНФА!$I$5:$I$19,0))),"лотов нет! ","")&amp;IF(AND($E103&lt;&gt;"",$F103=""),"укажите цену сделки; ","")&amp;IF(AND(N($H103)&gt;0,OR($AD103="",$AD103="Профессия"),OR($H103&gt;ИНФА!$F$29,$I103&lt;INDEX(ИНФА!$N$5:$N$19,MATCH($C103,ИНФА!$I$5:$I$19,0))+ИНФА!$F$30)),"скидка больше лимита или цена ниже выкупа + 500! ","")&amp;IF($AE103="","",IF(IFERROR(INDEX($B$5:$B$204,MATCH($AE103,$A$5:$A$204,0))=$B103,TRUE()),"бизнес-пара — только со зданием другой компании; ",""))&amp;IF($Q103="","",IF(IFERROR(INDEX(НАУКА!$B$5:$B$44,MATCH($Q103,НАУКА!$A$5:$A$44,0))&lt;&gt;$B103,FALSE()),"патент другой компании — нужна лицензия или соглашение; ","")))</f>
        <v/>
      </c>
      <c r="AD103" s="44"/>
      <c r="AE103" s="44"/>
      <c r="AF103" s="38" t="str">
        <f aca="false">IF($C103="","",IF(AND($W103=1,OR($C103="Дом",$C103="Кафе")),ИНФА!$F$17*(COUNTIFS($B$5:$B103,$B103,$C$5:$C103,$C103,$W$5:$W103,1)&lt;=COUNTIFS($B$5:$B$204,$B103,$C$5:$C$204,"Парк",$W$5:$W$204,1)),0))</f>
        <v/>
      </c>
      <c r="AG103" s="38" t="str">
        <f aca="false">IF($C103="","",IF($W103=1,IF(OR(AND($AE103&lt;&gt;"",IFERROR(INDEX($W$5:$W$204,MATCH($AE103,$A$5:$A$204,0))=1,FALSE()),IFERROR(INDEX($B$5:$B$204,MATCH($AE103,$A$5:$A$204,0))&lt;&gt;$B103,FALSE())),COUNTIFS($AE$5:$AE$204,$A103,$W$5:$W$204,1,$B$5:$B$204,"&lt;&gt;"&amp;$B103)&gt;0),ИНФА!$F$31,0),0))</f>
        <v/>
      </c>
    </row>
    <row r="104" customFormat="false" ht="15" hidden="false" customHeight="false" outlineLevel="0" collapsed="false">
      <c r="A104" s="15" t="n">
        <v>100</v>
      </c>
      <c r="B104" s="44"/>
      <c r="C104" s="44"/>
      <c r="D104" s="44"/>
      <c r="E104" s="44"/>
      <c r="F104" s="43"/>
      <c r="G104" s="38" t="str">
        <f aca="false">IF($C104="","",IF($F104&lt;&gt;"",$F104,INDEX(ИНФА!$M$5:$M$19,MATCH($C104,ИНФА!$I$5:$I$19,0))))</f>
        <v/>
      </c>
      <c r="H104" s="43"/>
      <c r="I104" s="38" t="str">
        <f aca="false">IF($C104="","",G104-N(H104))</f>
        <v/>
      </c>
      <c r="J104" s="37" t="str">
        <f aca="false">IF($C104="","",INDEX(ИНФА!$J$5:$J$19,MATCH($C104,ИНФА!$I$5:$I$19,0)))</f>
        <v/>
      </c>
      <c r="K104" s="37" t="str">
        <f aca="false">IF($C104="","",INDEX(ИНФА!$K$5:$K$19,MATCH($C104,ИНФА!$I$5:$I$19,0)))</f>
        <v/>
      </c>
      <c r="L104" s="38" t="str">
        <f aca="false">IF($C104="","",INDEX(ИНФА!$O$5:$O$19,MATCH($C104,ИНФА!$I$5:$I$19,0)))</f>
        <v/>
      </c>
      <c r="M104" s="38" t="str">
        <f aca="false">IF($C104="","",INDEX(ИНФА!$P$5:$P$19,MATCH($C104,ИНФА!$I$5:$I$19,0)))</f>
        <v/>
      </c>
      <c r="N104" s="44"/>
      <c r="O104" s="48" t="n">
        <f aca="false">IF(OR($C104="",$N104=""),1,IF(AND($J104="Услуги",IFERROR(INDEX($C$5:$C$204,MATCH($N104,$A$5:$A$204,0))=INDEX(ИНФА!$L$5:$L$19,MATCH($C104,ИНФА!$I$5:$I$19,0)),FALSE()),IFERROR(INDEX($W$5:$W$204,MATCH($N104,$A$5:$A$204,0))=1,FALSE()),COUNTIF($N$5:$N104,$N104)&lt;=ИНФА!$F$16),1+ИНФА!$F$15,1))</f>
        <v>1</v>
      </c>
      <c r="P104" s="47" t="str">
        <f aca="false">IF($C104="","",IF($J104&lt;&gt;"Услуги","",IF($N104="","нет поставщика — нужен "&amp;INDEX(ИНФА!$L$5:$L$19,MATCH($C104,ИНФА!$I$5:$I$19,0)),IF($O104&gt;1,"✓ поставка работает (+50%)",IF(IFERROR(INDEX($C$5:$C$204,MATCH($N104,$A$5:$A$204,0))&lt;&gt;INDEX(ИНФА!$L$5:$L$19,MATCH($C104,ИНФА!$I$5:$I$19,0)),TRUE()),"не тот поставщик: нужен "&amp;INDEX(ИНФА!$L$5:$L$19,MATCH($C104,ИНФА!$I$5:$I$19,0)),IF(COUNTIF($N$5:$N104,$N104)&gt;ИНФА!$F$16,"поставщик перегружен","поставщик ещё не работает или продан"))))))</f>
        <v/>
      </c>
      <c r="Q104" s="44"/>
      <c r="R104" s="48" t="str">
        <f aca="false">IF($C104="","",IF($Q104="",1,IFERROR(INDEX(НАУКА!$K$5:$K$44,MATCH($Q104,НАУКА!$A$5:$A$44,0)),1)))</f>
        <v/>
      </c>
      <c r="S104" s="37" t="str">
        <f aca="false">IF($Q104="","",IFERROR(INDEX(НАУКА!$G$5:$G$44,MATCH($Q104,НАУКА!$A$5:$A$44,0)),""))</f>
        <v/>
      </c>
      <c r="T104" s="44"/>
      <c r="U104" s="44"/>
      <c r="V104" s="43"/>
      <c r="W104" s="37" t="n">
        <f aca="false">IF(OR($C104="",$D104=""),0,IF(AND($D104&lt;ИНФА!$F$5,OR($T104="",$T104&gt;=ИНФА!$F$5)),1,0))</f>
        <v>0</v>
      </c>
      <c r="X104" s="46" t="str">
        <f aca="false">IF($C104="","",INDEX(СОБЫТИЯ!$B$5:$K$8,MATCH($K104,СОБЫТИЯ!$A$5:$A$8,0),ИНФА!$F$5))</f>
        <v/>
      </c>
      <c r="Y104" s="42" t="str">
        <f aca="false">IF($C104="","",IF($W104=1,ROUND($L104*$O104*IF(AND($Q104&lt;&gt;"",$S104&lt;&gt;""),IF($S104&lt;ИНФА!$F$5,$R104,1),1)*$X104,0)-$M104+N($AF104)+N($AG104),0))</f>
        <v/>
      </c>
      <c r="Z104" s="38" t="str">
        <f aca="false">IF($C104="","",IF($T104="",INDEX(ИНФА!$M$5:$M$19,MATCH($C104,ИНФА!$I$5:$I$19,0)),0))</f>
        <v/>
      </c>
      <c r="AA104" s="38" t="str">
        <f aca="false">IF(OR($C104="",$T104=""),"",IF($V104&lt;&gt;"",$V104,INDEX(ИНФА!$N$5:$N$19,MATCH($C104,ИНФА!$I$5:$I$19,0))))</f>
        <v/>
      </c>
      <c r="AB104" s="37" t="str">
        <f aca="false">IF($C104="","",IF($T104&lt;&gt;"",IF($U104&lt;&gt;"","продано компании "&amp;$U104&amp;" в цикле "&amp;$T104,"продано Инфраструктуре в цикле "&amp;$T104),IF($D104&gt;=ИНФА!$F$5,"доход со следующего цикла","приносит доход")))</f>
        <v/>
      </c>
      <c r="AC104" s="47" t="str">
        <f aca="false">IF($C104="","",IF($F104="","",IF($E104="","укажите продавца; ",IF(OR($F104&lt;INDEX(ИНФА!$N$5:$N$19,MATCH($C104,ИНФА!$I$5:$I$19,0)),$F104&gt;INDEX(ИНФА!$M$5:$M$19,MATCH($C104,ИНФА!$I$5:$I$19,0))),"цена покупки вне коридора! ","")))&amp;IF($U104="","",IF(OR($V104="",$T104=""),"укажите цикл и цену продажи; ",IF(OR($V104&lt;INDEX(ИНФА!$N$5:$N$19,MATCH($C104,ИНФА!$I$5:$I$19,0)),$V104&gt;INDEX(ИНФА!$M$5:$M$19,MATCH($C104,ИНФА!$I$5:$I$19,0))),"цена продажи вне коридора! ","")))&amp;IF(AND($T104="",COUNTIFS($C$5:$C104,$C104,$T$5:$T104,"")&gt;INDEX(ИНФА!$Q$5:$Q$19,MATCH($C104,ИНФА!$I$5:$I$19,0))),"лотов нет! ","")&amp;IF(AND($E104&lt;&gt;"",$F104=""),"укажите цену сделки; ","")&amp;IF(AND(N($H104)&gt;0,OR($AD104="",$AD104="Профессия"),OR($H104&gt;ИНФА!$F$29,$I104&lt;INDEX(ИНФА!$N$5:$N$19,MATCH($C104,ИНФА!$I$5:$I$19,0))+ИНФА!$F$30)),"скидка больше лимита или цена ниже выкупа + 500! ","")&amp;IF($AE104="","",IF(IFERROR(INDEX($B$5:$B$204,MATCH($AE104,$A$5:$A$204,0))=$B104,TRUE()),"бизнес-пара — только со зданием другой компании; ",""))&amp;IF($Q104="","",IF(IFERROR(INDEX(НАУКА!$B$5:$B$44,MATCH($Q104,НАУКА!$A$5:$A$44,0))&lt;&gt;$B104,FALSE()),"патент другой компании — нужна лицензия или соглашение; ","")))</f>
        <v/>
      </c>
      <c r="AD104" s="44"/>
      <c r="AE104" s="44"/>
      <c r="AF104" s="38" t="str">
        <f aca="false">IF($C104="","",IF(AND($W104=1,OR($C104="Дом",$C104="Кафе")),ИНФА!$F$17*(COUNTIFS($B$5:$B104,$B104,$C$5:$C104,$C104,$W$5:$W104,1)&lt;=COUNTIFS($B$5:$B$204,$B104,$C$5:$C$204,"Парк",$W$5:$W$204,1)),0))</f>
        <v/>
      </c>
      <c r="AG104" s="38" t="str">
        <f aca="false">IF($C104="","",IF($W104=1,IF(OR(AND($AE104&lt;&gt;"",IFERROR(INDEX($W$5:$W$204,MATCH($AE104,$A$5:$A$204,0))=1,FALSE()),IFERROR(INDEX($B$5:$B$204,MATCH($AE104,$A$5:$A$204,0))&lt;&gt;$B104,FALSE())),COUNTIFS($AE$5:$AE$204,$A104,$W$5:$W$204,1,$B$5:$B$204,"&lt;&gt;"&amp;$B104)&gt;0),ИНФА!$F$31,0),0))</f>
        <v/>
      </c>
    </row>
    <row r="105" customFormat="false" ht="15" hidden="false" customHeight="false" outlineLevel="0" collapsed="false">
      <c r="A105" s="15" t="n">
        <v>101</v>
      </c>
      <c r="B105" s="44"/>
      <c r="C105" s="44"/>
      <c r="D105" s="44"/>
      <c r="E105" s="44"/>
      <c r="F105" s="43"/>
      <c r="G105" s="38" t="str">
        <f aca="false">IF($C105="","",IF($F105&lt;&gt;"",$F105,INDEX(ИНФА!$M$5:$M$19,MATCH($C105,ИНФА!$I$5:$I$19,0))))</f>
        <v/>
      </c>
      <c r="H105" s="43"/>
      <c r="I105" s="38" t="str">
        <f aca="false">IF($C105="","",G105-N(H105))</f>
        <v/>
      </c>
      <c r="J105" s="37" t="str">
        <f aca="false">IF($C105="","",INDEX(ИНФА!$J$5:$J$19,MATCH($C105,ИНФА!$I$5:$I$19,0)))</f>
        <v/>
      </c>
      <c r="K105" s="37" t="str">
        <f aca="false">IF($C105="","",INDEX(ИНФА!$K$5:$K$19,MATCH($C105,ИНФА!$I$5:$I$19,0)))</f>
        <v/>
      </c>
      <c r="L105" s="38" t="str">
        <f aca="false">IF($C105="","",INDEX(ИНФА!$O$5:$O$19,MATCH($C105,ИНФА!$I$5:$I$19,0)))</f>
        <v/>
      </c>
      <c r="M105" s="38" t="str">
        <f aca="false">IF($C105="","",INDEX(ИНФА!$P$5:$P$19,MATCH($C105,ИНФА!$I$5:$I$19,0)))</f>
        <v/>
      </c>
      <c r="N105" s="44"/>
      <c r="O105" s="48" t="n">
        <f aca="false">IF(OR($C105="",$N105=""),1,IF(AND($J105="Услуги",IFERROR(INDEX($C$5:$C$204,MATCH($N105,$A$5:$A$204,0))=INDEX(ИНФА!$L$5:$L$19,MATCH($C105,ИНФА!$I$5:$I$19,0)),FALSE()),IFERROR(INDEX($W$5:$W$204,MATCH($N105,$A$5:$A$204,0))=1,FALSE()),COUNTIF($N$5:$N105,$N105)&lt;=ИНФА!$F$16),1+ИНФА!$F$15,1))</f>
        <v>1</v>
      </c>
      <c r="P105" s="47" t="str">
        <f aca="false">IF($C105="","",IF($J105&lt;&gt;"Услуги","",IF($N105="","нет поставщика — нужен "&amp;INDEX(ИНФА!$L$5:$L$19,MATCH($C105,ИНФА!$I$5:$I$19,0)),IF($O105&gt;1,"✓ поставка работает (+50%)",IF(IFERROR(INDEX($C$5:$C$204,MATCH($N105,$A$5:$A$204,0))&lt;&gt;INDEX(ИНФА!$L$5:$L$19,MATCH($C105,ИНФА!$I$5:$I$19,0)),TRUE()),"не тот поставщик: нужен "&amp;INDEX(ИНФА!$L$5:$L$19,MATCH($C105,ИНФА!$I$5:$I$19,0)),IF(COUNTIF($N$5:$N105,$N105)&gt;ИНФА!$F$16,"поставщик перегружен","поставщик ещё не работает или продан"))))))</f>
        <v/>
      </c>
      <c r="Q105" s="44"/>
      <c r="R105" s="48" t="str">
        <f aca="false">IF($C105="","",IF($Q105="",1,IFERROR(INDEX(НАУКА!$K$5:$K$44,MATCH($Q105,НАУКА!$A$5:$A$44,0)),1)))</f>
        <v/>
      </c>
      <c r="S105" s="37" t="str">
        <f aca="false">IF($Q105="","",IFERROR(INDEX(НАУКА!$G$5:$G$44,MATCH($Q105,НАУКА!$A$5:$A$44,0)),""))</f>
        <v/>
      </c>
      <c r="T105" s="44"/>
      <c r="U105" s="44"/>
      <c r="V105" s="43"/>
      <c r="W105" s="37" t="n">
        <f aca="false">IF(OR($C105="",$D105=""),0,IF(AND($D105&lt;ИНФА!$F$5,OR($T105="",$T105&gt;=ИНФА!$F$5)),1,0))</f>
        <v>0</v>
      </c>
      <c r="X105" s="46" t="str">
        <f aca="false">IF($C105="","",INDEX(СОБЫТИЯ!$B$5:$K$8,MATCH($K105,СОБЫТИЯ!$A$5:$A$8,0),ИНФА!$F$5))</f>
        <v/>
      </c>
      <c r="Y105" s="42" t="str">
        <f aca="false">IF($C105="","",IF($W105=1,ROUND($L105*$O105*IF(AND($Q105&lt;&gt;"",$S105&lt;&gt;""),IF($S105&lt;ИНФА!$F$5,$R105,1),1)*$X105,0)-$M105+N($AF105)+N($AG105),0))</f>
        <v/>
      </c>
      <c r="Z105" s="38" t="str">
        <f aca="false">IF($C105="","",IF($T105="",INDEX(ИНФА!$M$5:$M$19,MATCH($C105,ИНФА!$I$5:$I$19,0)),0))</f>
        <v/>
      </c>
      <c r="AA105" s="38" t="str">
        <f aca="false">IF(OR($C105="",$T105=""),"",IF($V105&lt;&gt;"",$V105,INDEX(ИНФА!$N$5:$N$19,MATCH($C105,ИНФА!$I$5:$I$19,0))))</f>
        <v/>
      </c>
      <c r="AB105" s="37" t="str">
        <f aca="false">IF($C105="","",IF($T105&lt;&gt;"",IF($U105&lt;&gt;"","продано компании "&amp;$U105&amp;" в цикле "&amp;$T105,"продано Инфраструктуре в цикле "&amp;$T105),IF($D105&gt;=ИНФА!$F$5,"доход со следующего цикла","приносит доход")))</f>
        <v/>
      </c>
      <c r="AC105" s="47" t="str">
        <f aca="false">IF($C105="","",IF($F105="","",IF($E105="","укажите продавца; ",IF(OR($F105&lt;INDEX(ИНФА!$N$5:$N$19,MATCH($C105,ИНФА!$I$5:$I$19,0)),$F105&gt;INDEX(ИНФА!$M$5:$M$19,MATCH($C105,ИНФА!$I$5:$I$19,0))),"цена покупки вне коридора! ","")))&amp;IF($U105="","",IF(OR($V105="",$T105=""),"укажите цикл и цену продажи; ",IF(OR($V105&lt;INDEX(ИНФА!$N$5:$N$19,MATCH($C105,ИНФА!$I$5:$I$19,0)),$V105&gt;INDEX(ИНФА!$M$5:$M$19,MATCH($C105,ИНФА!$I$5:$I$19,0))),"цена продажи вне коридора! ","")))&amp;IF(AND($T105="",COUNTIFS($C$5:$C105,$C105,$T$5:$T105,"")&gt;INDEX(ИНФА!$Q$5:$Q$19,MATCH($C105,ИНФА!$I$5:$I$19,0))),"лотов нет! ","")&amp;IF(AND($E105&lt;&gt;"",$F105=""),"укажите цену сделки; ","")&amp;IF(AND(N($H105)&gt;0,OR($AD105="",$AD105="Профессия"),OR($H105&gt;ИНФА!$F$29,$I105&lt;INDEX(ИНФА!$N$5:$N$19,MATCH($C105,ИНФА!$I$5:$I$19,0))+ИНФА!$F$30)),"скидка больше лимита или цена ниже выкупа + 500! ","")&amp;IF($AE105="","",IF(IFERROR(INDEX($B$5:$B$204,MATCH($AE105,$A$5:$A$204,0))=$B105,TRUE()),"бизнес-пара — только со зданием другой компании; ",""))&amp;IF($Q105="","",IF(IFERROR(INDEX(НАУКА!$B$5:$B$44,MATCH($Q105,НАУКА!$A$5:$A$44,0))&lt;&gt;$B105,FALSE()),"патент другой компании — нужна лицензия или соглашение; ","")))</f>
        <v/>
      </c>
      <c r="AD105" s="44"/>
      <c r="AE105" s="44"/>
      <c r="AF105" s="38" t="str">
        <f aca="false">IF($C105="","",IF(AND($W105=1,OR($C105="Дом",$C105="Кафе")),ИНФА!$F$17*(COUNTIFS($B$5:$B105,$B105,$C$5:$C105,$C105,$W$5:$W105,1)&lt;=COUNTIFS($B$5:$B$204,$B105,$C$5:$C$204,"Парк",$W$5:$W$204,1)),0))</f>
        <v/>
      </c>
      <c r="AG105" s="38" t="str">
        <f aca="false">IF($C105="","",IF($W105=1,IF(OR(AND($AE105&lt;&gt;"",IFERROR(INDEX($W$5:$W$204,MATCH($AE105,$A$5:$A$204,0))=1,FALSE()),IFERROR(INDEX($B$5:$B$204,MATCH($AE105,$A$5:$A$204,0))&lt;&gt;$B105,FALSE())),COUNTIFS($AE$5:$AE$204,$A105,$W$5:$W$204,1,$B$5:$B$204,"&lt;&gt;"&amp;$B105)&gt;0),ИНФА!$F$31,0),0))</f>
        <v/>
      </c>
    </row>
    <row r="106" customFormat="false" ht="15" hidden="false" customHeight="false" outlineLevel="0" collapsed="false">
      <c r="A106" s="15" t="n">
        <v>102</v>
      </c>
      <c r="B106" s="44"/>
      <c r="C106" s="44"/>
      <c r="D106" s="44"/>
      <c r="E106" s="44"/>
      <c r="F106" s="43"/>
      <c r="G106" s="38" t="str">
        <f aca="false">IF($C106="","",IF($F106&lt;&gt;"",$F106,INDEX(ИНФА!$M$5:$M$19,MATCH($C106,ИНФА!$I$5:$I$19,0))))</f>
        <v/>
      </c>
      <c r="H106" s="43"/>
      <c r="I106" s="38" t="str">
        <f aca="false">IF($C106="","",G106-N(H106))</f>
        <v/>
      </c>
      <c r="J106" s="37" t="str">
        <f aca="false">IF($C106="","",INDEX(ИНФА!$J$5:$J$19,MATCH($C106,ИНФА!$I$5:$I$19,0)))</f>
        <v/>
      </c>
      <c r="K106" s="37" t="str">
        <f aca="false">IF($C106="","",INDEX(ИНФА!$K$5:$K$19,MATCH($C106,ИНФА!$I$5:$I$19,0)))</f>
        <v/>
      </c>
      <c r="L106" s="38" t="str">
        <f aca="false">IF($C106="","",INDEX(ИНФА!$O$5:$O$19,MATCH($C106,ИНФА!$I$5:$I$19,0)))</f>
        <v/>
      </c>
      <c r="M106" s="38" t="str">
        <f aca="false">IF($C106="","",INDEX(ИНФА!$P$5:$P$19,MATCH($C106,ИНФА!$I$5:$I$19,0)))</f>
        <v/>
      </c>
      <c r="N106" s="44"/>
      <c r="O106" s="48" t="n">
        <f aca="false">IF(OR($C106="",$N106=""),1,IF(AND($J106="Услуги",IFERROR(INDEX($C$5:$C$204,MATCH($N106,$A$5:$A$204,0))=INDEX(ИНФА!$L$5:$L$19,MATCH($C106,ИНФА!$I$5:$I$19,0)),FALSE()),IFERROR(INDEX($W$5:$W$204,MATCH($N106,$A$5:$A$204,0))=1,FALSE()),COUNTIF($N$5:$N106,$N106)&lt;=ИНФА!$F$16),1+ИНФА!$F$15,1))</f>
        <v>1</v>
      </c>
      <c r="P106" s="47" t="str">
        <f aca="false">IF($C106="","",IF($J106&lt;&gt;"Услуги","",IF($N106="","нет поставщика — нужен "&amp;INDEX(ИНФА!$L$5:$L$19,MATCH($C106,ИНФА!$I$5:$I$19,0)),IF($O106&gt;1,"✓ поставка работает (+50%)",IF(IFERROR(INDEX($C$5:$C$204,MATCH($N106,$A$5:$A$204,0))&lt;&gt;INDEX(ИНФА!$L$5:$L$19,MATCH($C106,ИНФА!$I$5:$I$19,0)),TRUE()),"не тот поставщик: нужен "&amp;INDEX(ИНФА!$L$5:$L$19,MATCH($C106,ИНФА!$I$5:$I$19,0)),IF(COUNTIF($N$5:$N106,$N106)&gt;ИНФА!$F$16,"поставщик перегружен","поставщик ещё не работает или продан"))))))</f>
        <v/>
      </c>
      <c r="Q106" s="44"/>
      <c r="R106" s="48" t="str">
        <f aca="false">IF($C106="","",IF($Q106="",1,IFERROR(INDEX(НАУКА!$K$5:$K$44,MATCH($Q106,НАУКА!$A$5:$A$44,0)),1)))</f>
        <v/>
      </c>
      <c r="S106" s="37" t="str">
        <f aca="false">IF($Q106="","",IFERROR(INDEX(НАУКА!$G$5:$G$44,MATCH($Q106,НАУКА!$A$5:$A$44,0)),""))</f>
        <v/>
      </c>
      <c r="T106" s="44"/>
      <c r="U106" s="44"/>
      <c r="V106" s="43"/>
      <c r="W106" s="37" t="n">
        <f aca="false">IF(OR($C106="",$D106=""),0,IF(AND($D106&lt;ИНФА!$F$5,OR($T106="",$T106&gt;=ИНФА!$F$5)),1,0))</f>
        <v>0</v>
      </c>
      <c r="X106" s="46" t="str">
        <f aca="false">IF($C106="","",INDEX(СОБЫТИЯ!$B$5:$K$8,MATCH($K106,СОБЫТИЯ!$A$5:$A$8,0),ИНФА!$F$5))</f>
        <v/>
      </c>
      <c r="Y106" s="42" t="str">
        <f aca="false">IF($C106="","",IF($W106=1,ROUND($L106*$O106*IF(AND($Q106&lt;&gt;"",$S106&lt;&gt;""),IF($S106&lt;ИНФА!$F$5,$R106,1),1)*$X106,0)-$M106+N($AF106)+N($AG106),0))</f>
        <v/>
      </c>
      <c r="Z106" s="38" t="str">
        <f aca="false">IF($C106="","",IF($T106="",INDEX(ИНФА!$M$5:$M$19,MATCH($C106,ИНФА!$I$5:$I$19,0)),0))</f>
        <v/>
      </c>
      <c r="AA106" s="38" t="str">
        <f aca="false">IF(OR($C106="",$T106=""),"",IF($V106&lt;&gt;"",$V106,INDEX(ИНФА!$N$5:$N$19,MATCH($C106,ИНФА!$I$5:$I$19,0))))</f>
        <v/>
      </c>
      <c r="AB106" s="37" t="str">
        <f aca="false">IF($C106="","",IF($T106&lt;&gt;"",IF($U106&lt;&gt;"","продано компании "&amp;$U106&amp;" в цикле "&amp;$T106,"продано Инфраструктуре в цикле "&amp;$T106),IF($D106&gt;=ИНФА!$F$5,"доход со следующего цикла","приносит доход")))</f>
        <v/>
      </c>
      <c r="AC106" s="47" t="str">
        <f aca="false">IF($C106="","",IF($F106="","",IF($E106="","укажите продавца; ",IF(OR($F106&lt;INDEX(ИНФА!$N$5:$N$19,MATCH($C106,ИНФА!$I$5:$I$19,0)),$F106&gt;INDEX(ИНФА!$M$5:$M$19,MATCH($C106,ИНФА!$I$5:$I$19,0))),"цена покупки вне коридора! ","")))&amp;IF($U106="","",IF(OR($V106="",$T106=""),"укажите цикл и цену продажи; ",IF(OR($V106&lt;INDEX(ИНФА!$N$5:$N$19,MATCH($C106,ИНФА!$I$5:$I$19,0)),$V106&gt;INDEX(ИНФА!$M$5:$M$19,MATCH($C106,ИНФА!$I$5:$I$19,0))),"цена продажи вне коридора! ","")))&amp;IF(AND($T106="",COUNTIFS($C$5:$C106,$C106,$T$5:$T106,"")&gt;INDEX(ИНФА!$Q$5:$Q$19,MATCH($C106,ИНФА!$I$5:$I$19,0))),"лотов нет! ","")&amp;IF(AND($E106&lt;&gt;"",$F106=""),"укажите цену сделки; ","")&amp;IF(AND(N($H106)&gt;0,OR($AD106="",$AD106="Профессия"),OR($H106&gt;ИНФА!$F$29,$I106&lt;INDEX(ИНФА!$N$5:$N$19,MATCH($C106,ИНФА!$I$5:$I$19,0))+ИНФА!$F$30)),"скидка больше лимита или цена ниже выкупа + 500! ","")&amp;IF($AE106="","",IF(IFERROR(INDEX($B$5:$B$204,MATCH($AE106,$A$5:$A$204,0))=$B106,TRUE()),"бизнес-пара — только со зданием другой компании; ",""))&amp;IF($Q106="","",IF(IFERROR(INDEX(НАУКА!$B$5:$B$44,MATCH($Q106,НАУКА!$A$5:$A$44,0))&lt;&gt;$B106,FALSE()),"патент другой компании — нужна лицензия или соглашение; ","")))</f>
        <v/>
      </c>
      <c r="AD106" s="44"/>
      <c r="AE106" s="44"/>
      <c r="AF106" s="38" t="str">
        <f aca="false">IF($C106="","",IF(AND($W106=1,OR($C106="Дом",$C106="Кафе")),ИНФА!$F$17*(COUNTIFS($B$5:$B106,$B106,$C$5:$C106,$C106,$W$5:$W106,1)&lt;=COUNTIFS($B$5:$B$204,$B106,$C$5:$C$204,"Парк",$W$5:$W$204,1)),0))</f>
        <v/>
      </c>
      <c r="AG106" s="38" t="str">
        <f aca="false">IF($C106="","",IF($W106=1,IF(OR(AND($AE106&lt;&gt;"",IFERROR(INDEX($W$5:$W$204,MATCH($AE106,$A$5:$A$204,0))=1,FALSE()),IFERROR(INDEX($B$5:$B$204,MATCH($AE106,$A$5:$A$204,0))&lt;&gt;$B106,FALSE())),COUNTIFS($AE$5:$AE$204,$A106,$W$5:$W$204,1,$B$5:$B$204,"&lt;&gt;"&amp;$B106)&gt;0),ИНФА!$F$31,0),0))</f>
        <v/>
      </c>
    </row>
    <row r="107" customFormat="false" ht="15" hidden="false" customHeight="false" outlineLevel="0" collapsed="false">
      <c r="A107" s="15" t="n">
        <v>103</v>
      </c>
      <c r="B107" s="44"/>
      <c r="C107" s="44"/>
      <c r="D107" s="44"/>
      <c r="E107" s="44"/>
      <c r="F107" s="43"/>
      <c r="G107" s="38" t="str">
        <f aca="false">IF($C107="","",IF($F107&lt;&gt;"",$F107,INDEX(ИНФА!$M$5:$M$19,MATCH($C107,ИНФА!$I$5:$I$19,0))))</f>
        <v/>
      </c>
      <c r="H107" s="43"/>
      <c r="I107" s="38" t="str">
        <f aca="false">IF($C107="","",G107-N(H107))</f>
        <v/>
      </c>
      <c r="J107" s="37" t="str">
        <f aca="false">IF($C107="","",INDEX(ИНФА!$J$5:$J$19,MATCH($C107,ИНФА!$I$5:$I$19,0)))</f>
        <v/>
      </c>
      <c r="K107" s="37" t="str">
        <f aca="false">IF($C107="","",INDEX(ИНФА!$K$5:$K$19,MATCH($C107,ИНФА!$I$5:$I$19,0)))</f>
        <v/>
      </c>
      <c r="L107" s="38" t="str">
        <f aca="false">IF($C107="","",INDEX(ИНФА!$O$5:$O$19,MATCH($C107,ИНФА!$I$5:$I$19,0)))</f>
        <v/>
      </c>
      <c r="M107" s="38" t="str">
        <f aca="false">IF($C107="","",INDEX(ИНФА!$P$5:$P$19,MATCH($C107,ИНФА!$I$5:$I$19,0)))</f>
        <v/>
      </c>
      <c r="N107" s="44"/>
      <c r="O107" s="48" t="n">
        <f aca="false">IF(OR($C107="",$N107=""),1,IF(AND($J107="Услуги",IFERROR(INDEX($C$5:$C$204,MATCH($N107,$A$5:$A$204,0))=INDEX(ИНФА!$L$5:$L$19,MATCH($C107,ИНФА!$I$5:$I$19,0)),FALSE()),IFERROR(INDEX($W$5:$W$204,MATCH($N107,$A$5:$A$204,0))=1,FALSE()),COUNTIF($N$5:$N107,$N107)&lt;=ИНФА!$F$16),1+ИНФА!$F$15,1))</f>
        <v>1</v>
      </c>
      <c r="P107" s="47" t="str">
        <f aca="false">IF($C107="","",IF($J107&lt;&gt;"Услуги","",IF($N107="","нет поставщика — нужен "&amp;INDEX(ИНФА!$L$5:$L$19,MATCH($C107,ИНФА!$I$5:$I$19,0)),IF($O107&gt;1,"✓ поставка работает (+50%)",IF(IFERROR(INDEX($C$5:$C$204,MATCH($N107,$A$5:$A$204,0))&lt;&gt;INDEX(ИНФА!$L$5:$L$19,MATCH($C107,ИНФА!$I$5:$I$19,0)),TRUE()),"не тот поставщик: нужен "&amp;INDEX(ИНФА!$L$5:$L$19,MATCH($C107,ИНФА!$I$5:$I$19,0)),IF(COUNTIF($N$5:$N107,$N107)&gt;ИНФА!$F$16,"поставщик перегружен","поставщик ещё не работает или продан"))))))</f>
        <v/>
      </c>
      <c r="Q107" s="44"/>
      <c r="R107" s="48" t="str">
        <f aca="false">IF($C107="","",IF($Q107="",1,IFERROR(INDEX(НАУКА!$K$5:$K$44,MATCH($Q107,НАУКА!$A$5:$A$44,0)),1)))</f>
        <v/>
      </c>
      <c r="S107" s="37" t="str">
        <f aca="false">IF($Q107="","",IFERROR(INDEX(НАУКА!$G$5:$G$44,MATCH($Q107,НАУКА!$A$5:$A$44,0)),""))</f>
        <v/>
      </c>
      <c r="T107" s="44"/>
      <c r="U107" s="44"/>
      <c r="V107" s="43"/>
      <c r="W107" s="37" t="n">
        <f aca="false">IF(OR($C107="",$D107=""),0,IF(AND($D107&lt;ИНФА!$F$5,OR($T107="",$T107&gt;=ИНФА!$F$5)),1,0))</f>
        <v>0</v>
      </c>
      <c r="X107" s="46" t="str">
        <f aca="false">IF($C107="","",INDEX(СОБЫТИЯ!$B$5:$K$8,MATCH($K107,СОБЫТИЯ!$A$5:$A$8,0),ИНФА!$F$5))</f>
        <v/>
      </c>
      <c r="Y107" s="42" t="str">
        <f aca="false">IF($C107="","",IF($W107=1,ROUND($L107*$O107*IF(AND($Q107&lt;&gt;"",$S107&lt;&gt;""),IF($S107&lt;ИНФА!$F$5,$R107,1),1)*$X107,0)-$M107+N($AF107)+N($AG107),0))</f>
        <v/>
      </c>
      <c r="Z107" s="38" t="str">
        <f aca="false">IF($C107="","",IF($T107="",INDEX(ИНФА!$M$5:$M$19,MATCH($C107,ИНФА!$I$5:$I$19,0)),0))</f>
        <v/>
      </c>
      <c r="AA107" s="38" t="str">
        <f aca="false">IF(OR($C107="",$T107=""),"",IF($V107&lt;&gt;"",$V107,INDEX(ИНФА!$N$5:$N$19,MATCH($C107,ИНФА!$I$5:$I$19,0))))</f>
        <v/>
      </c>
      <c r="AB107" s="37" t="str">
        <f aca="false">IF($C107="","",IF($T107&lt;&gt;"",IF($U107&lt;&gt;"","продано компании "&amp;$U107&amp;" в цикле "&amp;$T107,"продано Инфраструктуре в цикле "&amp;$T107),IF($D107&gt;=ИНФА!$F$5,"доход со следующего цикла","приносит доход")))</f>
        <v/>
      </c>
      <c r="AC107" s="47" t="str">
        <f aca="false">IF($C107="","",IF($F107="","",IF($E107="","укажите продавца; ",IF(OR($F107&lt;INDEX(ИНФА!$N$5:$N$19,MATCH($C107,ИНФА!$I$5:$I$19,0)),$F107&gt;INDEX(ИНФА!$M$5:$M$19,MATCH($C107,ИНФА!$I$5:$I$19,0))),"цена покупки вне коридора! ","")))&amp;IF($U107="","",IF(OR($V107="",$T107=""),"укажите цикл и цену продажи; ",IF(OR($V107&lt;INDEX(ИНФА!$N$5:$N$19,MATCH($C107,ИНФА!$I$5:$I$19,0)),$V107&gt;INDEX(ИНФА!$M$5:$M$19,MATCH($C107,ИНФА!$I$5:$I$19,0))),"цена продажи вне коридора! ","")))&amp;IF(AND($T107="",COUNTIFS($C$5:$C107,$C107,$T$5:$T107,"")&gt;INDEX(ИНФА!$Q$5:$Q$19,MATCH($C107,ИНФА!$I$5:$I$19,0))),"лотов нет! ","")&amp;IF(AND($E107&lt;&gt;"",$F107=""),"укажите цену сделки; ","")&amp;IF(AND(N($H107)&gt;0,OR($AD107="",$AD107="Профессия"),OR($H107&gt;ИНФА!$F$29,$I107&lt;INDEX(ИНФА!$N$5:$N$19,MATCH($C107,ИНФА!$I$5:$I$19,0))+ИНФА!$F$30)),"скидка больше лимита или цена ниже выкупа + 500! ","")&amp;IF($AE107="","",IF(IFERROR(INDEX($B$5:$B$204,MATCH($AE107,$A$5:$A$204,0))=$B107,TRUE()),"бизнес-пара — только со зданием другой компании; ",""))&amp;IF($Q107="","",IF(IFERROR(INDEX(НАУКА!$B$5:$B$44,MATCH($Q107,НАУКА!$A$5:$A$44,0))&lt;&gt;$B107,FALSE()),"патент другой компании — нужна лицензия или соглашение; ","")))</f>
        <v/>
      </c>
      <c r="AD107" s="44"/>
      <c r="AE107" s="44"/>
      <c r="AF107" s="38" t="str">
        <f aca="false">IF($C107="","",IF(AND($W107=1,OR($C107="Дом",$C107="Кафе")),ИНФА!$F$17*(COUNTIFS($B$5:$B107,$B107,$C$5:$C107,$C107,$W$5:$W107,1)&lt;=COUNTIFS($B$5:$B$204,$B107,$C$5:$C$204,"Парк",$W$5:$W$204,1)),0))</f>
        <v/>
      </c>
      <c r="AG107" s="38" t="str">
        <f aca="false">IF($C107="","",IF($W107=1,IF(OR(AND($AE107&lt;&gt;"",IFERROR(INDEX($W$5:$W$204,MATCH($AE107,$A$5:$A$204,0))=1,FALSE()),IFERROR(INDEX($B$5:$B$204,MATCH($AE107,$A$5:$A$204,0))&lt;&gt;$B107,FALSE())),COUNTIFS($AE$5:$AE$204,$A107,$W$5:$W$204,1,$B$5:$B$204,"&lt;&gt;"&amp;$B107)&gt;0),ИНФА!$F$31,0),0))</f>
        <v/>
      </c>
    </row>
    <row r="108" customFormat="false" ht="15" hidden="false" customHeight="false" outlineLevel="0" collapsed="false">
      <c r="A108" s="15" t="n">
        <v>104</v>
      </c>
      <c r="B108" s="44"/>
      <c r="C108" s="44"/>
      <c r="D108" s="44"/>
      <c r="E108" s="44"/>
      <c r="F108" s="43"/>
      <c r="G108" s="38" t="str">
        <f aca="false">IF($C108="","",IF($F108&lt;&gt;"",$F108,INDEX(ИНФА!$M$5:$M$19,MATCH($C108,ИНФА!$I$5:$I$19,0))))</f>
        <v/>
      </c>
      <c r="H108" s="43"/>
      <c r="I108" s="38" t="str">
        <f aca="false">IF($C108="","",G108-N(H108))</f>
        <v/>
      </c>
      <c r="J108" s="37" t="str">
        <f aca="false">IF($C108="","",INDEX(ИНФА!$J$5:$J$19,MATCH($C108,ИНФА!$I$5:$I$19,0)))</f>
        <v/>
      </c>
      <c r="K108" s="37" t="str">
        <f aca="false">IF($C108="","",INDEX(ИНФА!$K$5:$K$19,MATCH($C108,ИНФА!$I$5:$I$19,0)))</f>
        <v/>
      </c>
      <c r="L108" s="38" t="str">
        <f aca="false">IF($C108="","",INDEX(ИНФА!$O$5:$O$19,MATCH($C108,ИНФА!$I$5:$I$19,0)))</f>
        <v/>
      </c>
      <c r="M108" s="38" t="str">
        <f aca="false">IF($C108="","",INDEX(ИНФА!$P$5:$P$19,MATCH($C108,ИНФА!$I$5:$I$19,0)))</f>
        <v/>
      </c>
      <c r="N108" s="44"/>
      <c r="O108" s="48" t="n">
        <f aca="false">IF(OR($C108="",$N108=""),1,IF(AND($J108="Услуги",IFERROR(INDEX($C$5:$C$204,MATCH($N108,$A$5:$A$204,0))=INDEX(ИНФА!$L$5:$L$19,MATCH($C108,ИНФА!$I$5:$I$19,0)),FALSE()),IFERROR(INDEX($W$5:$W$204,MATCH($N108,$A$5:$A$204,0))=1,FALSE()),COUNTIF($N$5:$N108,$N108)&lt;=ИНФА!$F$16),1+ИНФА!$F$15,1))</f>
        <v>1</v>
      </c>
      <c r="P108" s="47" t="str">
        <f aca="false">IF($C108="","",IF($J108&lt;&gt;"Услуги","",IF($N108="","нет поставщика — нужен "&amp;INDEX(ИНФА!$L$5:$L$19,MATCH($C108,ИНФА!$I$5:$I$19,0)),IF($O108&gt;1,"✓ поставка работает (+50%)",IF(IFERROR(INDEX($C$5:$C$204,MATCH($N108,$A$5:$A$204,0))&lt;&gt;INDEX(ИНФА!$L$5:$L$19,MATCH($C108,ИНФА!$I$5:$I$19,0)),TRUE()),"не тот поставщик: нужен "&amp;INDEX(ИНФА!$L$5:$L$19,MATCH($C108,ИНФА!$I$5:$I$19,0)),IF(COUNTIF($N$5:$N108,$N108)&gt;ИНФА!$F$16,"поставщик перегружен","поставщик ещё не работает или продан"))))))</f>
        <v/>
      </c>
      <c r="Q108" s="44"/>
      <c r="R108" s="48" t="str">
        <f aca="false">IF($C108="","",IF($Q108="",1,IFERROR(INDEX(НАУКА!$K$5:$K$44,MATCH($Q108,НАУКА!$A$5:$A$44,0)),1)))</f>
        <v/>
      </c>
      <c r="S108" s="37" t="str">
        <f aca="false">IF($Q108="","",IFERROR(INDEX(НАУКА!$G$5:$G$44,MATCH($Q108,НАУКА!$A$5:$A$44,0)),""))</f>
        <v/>
      </c>
      <c r="T108" s="44"/>
      <c r="U108" s="44"/>
      <c r="V108" s="43"/>
      <c r="W108" s="37" t="n">
        <f aca="false">IF(OR($C108="",$D108=""),0,IF(AND($D108&lt;ИНФА!$F$5,OR($T108="",$T108&gt;=ИНФА!$F$5)),1,0))</f>
        <v>0</v>
      </c>
      <c r="X108" s="46" t="str">
        <f aca="false">IF($C108="","",INDEX(СОБЫТИЯ!$B$5:$K$8,MATCH($K108,СОБЫТИЯ!$A$5:$A$8,0),ИНФА!$F$5))</f>
        <v/>
      </c>
      <c r="Y108" s="42" t="str">
        <f aca="false">IF($C108="","",IF($W108=1,ROUND($L108*$O108*IF(AND($Q108&lt;&gt;"",$S108&lt;&gt;""),IF($S108&lt;ИНФА!$F$5,$R108,1),1)*$X108,0)-$M108+N($AF108)+N($AG108),0))</f>
        <v/>
      </c>
      <c r="Z108" s="38" t="str">
        <f aca="false">IF($C108="","",IF($T108="",INDEX(ИНФА!$M$5:$M$19,MATCH($C108,ИНФА!$I$5:$I$19,0)),0))</f>
        <v/>
      </c>
      <c r="AA108" s="38" t="str">
        <f aca="false">IF(OR($C108="",$T108=""),"",IF($V108&lt;&gt;"",$V108,INDEX(ИНФА!$N$5:$N$19,MATCH($C108,ИНФА!$I$5:$I$19,0))))</f>
        <v/>
      </c>
      <c r="AB108" s="37" t="str">
        <f aca="false">IF($C108="","",IF($T108&lt;&gt;"",IF($U108&lt;&gt;"","продано компании "&amp;$U108&amp;" в цикле "&amp;$T108,"продано Инфраструктуре в цикле "&amp;$T108),IF($D108&gt;=ИНФА!$F$5,"доход со следующего цикла","приносит доход")))</f>
        <v/>
      </c>
      <c r="AC108" s="47" t="str">
        <f aca="false">IF($C108="","",IF($F108="","",IF($E108="","укажите продавца; ",IF(OR($F108&lt;INDEX(ИНФА!$N$5:$N$19,MATCH($C108,ИНФА!$I$5:$I$19,0)),$F108&gt;INDEX(ИНФА!$M$5:$M$19,MATCH($C108,ИНФА!$I$5:$I$19,0))),"цена покупки вне коридора! ","")))&amp;IF($U108="","",IF(OR($V108="",$T108=""),"укажите цикл и цену продажи; ",IF(OR($V108&lt;INDEX(ИНФА!$N$5:$N$19,MATCH($C108,ИНФА!$I$5:$I$19,0)),$V108&gt;INDEX(ИНФА!$M$5:$M$19,MATCH($C108,ИНФА!$I$5:$I$19,0))),"цена продажи вне коридора! ","")))&amp;IF(AND($T108="",COUNTIFS($C$5:$C108,$C108,$T$5:$T108,"")&gt;INDEX(ИНФА!$Q$5:$Q$19,MATCH($C108,ИНФА!$I$5:$I$19,0))),"лотов нет! ","")&amp;IF(AND($E108&lt;&gt;"",$F108=""),"укажите цену сделки; ","")&amp;IF(AND(N($H108)&gt;0,OR($AD108="",$AD108="Профессия"),OR($H108&gt;ИНФА!$F$29,$I108&lt;INDEX(ИНФА!$N$5:$N$19,MATCH($C108,ИНФА!$I$5:$I$19,0))+ИНФА!$F$30)),"скидка больше лимита или цена ниже выкупа + 500! ","")&amp;IF($AE108="","",IF(IFERROR(INDEX($B$5:$B$204,MATCH($AE108,$A$5:$A$204,0))=$B108,TRUE()),"бизнес-пара — только со зданием другой компании; ",""))&amp;IF($Q108="","",IF(IFERROR(INDEX(НАУКА!$B$5:$B$44,MATCH($Q108,НАУКА!$A$5:$A$44,0))&lt;&gt;$B108,FALSE()),"патент другой компании — нужна лицензия или соглашение; ","")))</f>
        <v/>
      </c>
      <c r="AD108" s="44"/>
      <c r="AE108" s="44"/>
      <c r="AF108" s="38" t="str">
        <f aca="false">IF($C108="","",IF(AND($W108=1,OR($C108="Дом",$C108="Кафе")),ИНФА!$F$17*(COUNTIFS($B$5:$B108,$B108,$C$5:$C108,$C108,$W$5:$W108,1)&lt;=COUNTIFS($B$5:$B$204,$B108,$C$5:$C$204,"Парк",$W$5:$W$204,1)),0))</f>
        <v/>
      </c>
      <c r="AG108" s="38" t="str">
        <f aca="false">IF($C108="","",IF($W108=1,IF(OR(AND($AE108&lt;&gt;"",IFERROR(INDEX($W$5:$W$204,MATCH($AE108,$A$5:$A$204,0))=1,FALSE()),IFERROR(INDEX($B$5:$B$204,MATCH($AE108,$A$5:$A$204,0))&lt;&gt;$B108,FALSE())),COUNTIFS($AE$5:$AE$204,$A108,$W$5:$W$204,1,$B$5:$B$204,"&lt;&gt;"&amp;$B108)&gt;0),ИНФА!$F$31,0),0))</f>
        <v/>
      </c>
    </row>
    <row r="109" customFormat="false" ht="15" hidden="false" customHeight="false" outlineLevel="0" collapsed="false">
      <c r="A109" s="15" t="n">
        <v>105</v>
      </c>
      <c r="B109" s="44"/>
      <c r="C109" s="44"/>
      <c r="D109" s="44"/>
      <c r="E109" s="44"/>
      <c r="F109" s="43"/>
      <c r="G109" s="38" t="str">
        <f aca="false">IF($C109="","",IF($F109&lt;&gt;"",$F109,INDEX(ИНФА!$M$5:$M$19,MATCH($C109,ИНФА!$I$5:$I$19,0))))</f>
        <v/>
      </c>
      <c r="H109" s="43"/>
      <c r="I109" s="38" t="str">
        <f aca="false">IF($C109="","",G109-N(H109))</f>
        <v/>
      </c>
      <c r="J109" s="37" t="str">
        <f aca="false">IF($C109="","",INDEX(ИНФА!$J$5:$J$19,MATCH($C109,ИНФА!$I$5:$I$19,0)))</f>
        <v/>
      </c>
      <c r="K109" s="37" t="str">
        <f aca="false">IF($C109="","",INDEX(ИНФА!$K$5:$K$19,MATCH($C109,ИНФА!$I$5:$I$19,0)))</f>
        <v/>
      </c>
      <c r="L109" s="38" t="str">
        <f aca="false">IF($C109="","",INDEX(ИНФА!$O$5:$O$19,MATCH($C109,ИНФА!$I$5:$I$19,0)))</f>
        <v/>
      </c>
      <c r="M109" s="38" t="str">
        <f aca="false">IF($C109="","",INDEX(ИНФА!$P$5:$P$19,MATCH($C109,ИНФА!$I$5:$I$19,0)))</f>
        <v/>
      </c>
      <c r="N109" s="44"/>
      <c r="O109" s="48" t="n">
        <f aca="false">IF(OR($C109="",$N109=""),1,IF(AND($J109="Услуги",IFERROR(INDEX($C$5:$C$204,MATCH($N109,$A$5:$A$204,0))=INDEX(ИНФА!$L$5:$L$19,MATCH($C109,ИНФА!$I$5:$I$19,0)),FALSE()),IFERROR(INDEX($W$5:$W$204,MATCH($N109,$A$5:$A$204,0))=1,FALSE()),COUNTIF($N$5:$N109,$N109)&lt;=ИНФА!$F$16),1+ИНФА!$F$15,1))</f>
        <v>1</v>
      </c>
      <c r="P109" s="47" t="str">
        <f aca="false">IF($C109="","",IF($J109&lt;&gt;"Услуги","",IF($N109="","нет поставщика — нужен "&amp;INDEX(ИНФА!$L$5:$L$19,MATCH($C109,ИНФА!$I$5:$I$19,0)),IF($O109&gt;1,"✓ поставка работает (+50%)",IF(IFERROR(INDEX($C$5:$C$204,MATCH($N109,$A$5:$A$204,0))&lt;&gt;INDEX(ИНФА!$L$5:$L$19,MATCH($C109,ИНФА!$I$5:$I$19,0)),TRUE()),"не тот поставщик: нужен "&amp;INDEX(ИНФА!$L$5:$L$19,MATCH($C109,ИНФА!$I$5:$I$19,0)),IF(COUNTIF($N$5:$N109,$N109)&gt;ИНФА!$F$16,"поставщик перегружен","поставщик ещё не работает или продан"))))))</f>
        <v/>
      </c>
      <c r="Q109" s="44"/>
      <c r="R109" s="48" t="str">
        <f aca="false">IF($C109="","",IF($Q109="",1,IFERROR(INDEX(НАУКА!$K$5:$K$44,MATCH($Q109,НАУКА!$A$5:$A$44,0)),1)))</f>
        <v/>
      </c>
      <c r="S109" s="37" t="str">
        <f aca="false">IF($Q109="","",IFERROR(INDEX(НАУКА!$G$5:$G$44,MATCH($Q109,НАУКА!$A$5:$A$44,0)),""))</f>
        <v/>
      </c>
      <c r="T109" s="44"/>
      <c r="U109" s="44"/>
      <c r="V109" s="43"/>
      <c r="W109" s="37" t="n">
        <f aca="false">IF(OR($C109="",$D109=""),0,IF(AND($D109&lt;ИНФА!$F$5,OR($T109="",$T109&gt;=ИНФА!$F$5)),1,0))</f>
        <v>0</v>
      </c>
      <c r="X109" s="46" t="str">
        <f aca="false">IF($C109="","",INDEX(СОБЫТИЯ!$B$5:$K$8,MATCH($K109,СОБЫТИЯ!$A$5:$A$8,0),ИНФА!$F$5))</f>
        <v/>
      </c>
      <c r="Y109" s="42" t="str">
        <f aca="false">IF($C109="","",IF($W109=1,ROUND($L109*$O109*IF(AND($Q109&lt;&gt;"",$S109&lt;&gt;""),IF($S109&lt;ИНФА!$F$5,$R109,1),1)*$X109,0)-$M109+N($AF109)+N($AG109),0))</f>
        <v/>
      </c>
      <c r="Z109" s="38" t="str">
        <f aca="false">IF($C109="","",IF($T109="",INDEX(ИНФА!$M$5:$M$19,MATCH($C109,ИНФА!$I$5:$I$19,0)),0))</f>
        <v/>
      </c>
      <c r="AA109" s="38" t="str">
        <f aca="false">IF(OR($C109="",$T109=""),"",IF($V109&lt;&gt;"",$V109,INDEX(ИНФА!$N$5:$N$19,MATCH($C109,ИНФА!$I$5:$I$19,0))))</f>
        <v/>
      </c>
      <c r="AB109" s="37" t="str">
        <f aca="false">IF($C109="","",IF($T109&lt;&gt;"",IF($U109&lt;&gt;"","продано компании "&amp;$U109&amp;" в цикле "&amp;$T109,"продано Инфраструктуре в цикле "&amp;$T109),IF($D109&gt;=ИНФА!$F$5,"доход со следующего цикла","приносит доход")))</f>
        <v/>
      </c>
      <c r="AC109" s="47" t="str">
        <f aca="false">IF($C109="","",IF($F109="","",IF($E109="","укажите продавца; ",IF(OR($F109&lt;INDEX(ИНФА!$N$5:$N$19,MATCH($C109,ИНФА!$I$5:$I$19,0)),$F109&gt;INDEX(ИНФА!$M$5:$M$19,MATCH($C109,ИНФА!$I$5:$I$19,0))),"цена покупки вне коридора! ","")))&amp;IF($U109="","",IF(OR($V109="",$T109=""),"укажите цикл и цену продажи; ",IF(OR($V109&lt;INDEX(ИНФА!$N$5:$N$19,MATCH($C109,ИНФА!$I$5:$I$19,0)),$V109&gt;INDEX(ИНФА!$M$5:$M$19,MATCH($C109,ИНФА!$I$5:$I$19,0))),"цена продажи вне коридора! ","")))&amp;IF(AND($T109="",COUNTIFS($C$5:$C109,$C109,$T$5:$T109,"")&gt;INDEX(ИНФА!$Q$5:$Q$19,MATCH($C109,ИНФА!$I$5:$I$19,0))),"лотов нет! ","")&amp;IF(AND($E109&lt;&gt;"",$F109=""),"укажите цену сделки; ","")&amp;IF(AND(N($H109)&gt;0,OR($AD109="",$AD109="Профессия"),OR($H109&gt;ИНФА!$F$29,$I109&lt;INDEX(ИНФА!$N$5:$N$19,MATCH($C109,ИНФА!$I$5:$I$19,0))+ИНФА!$F$30)),"скидка больше лимита или цена ниже выкупа + 500! ","")&amp;IF($AE109="","",IF(IFERROR(INDEX($B$5:$B$204,MATCH($AE109,$A$5:$A$204,0))=$B109,TRUE()),"бизнес-пара — только со зданием другой компании; ",""))&amp;IF($Q109="","",IF(IFERROR(INDEX(НАУКА!$B$5:$B$44,MATCH($Q109,НАУКА!$A$5:$A$44,0))&lt;&gt;$B109,FALSE()),"патент другой компании — нужна лицензия или соглашение; ","")))</f>
        <v/>
      </c>
      <c r="AD109" s="44"/>
      <c r="AE109" s="44"/>
      <c r="AF109" s="38" t="str">
        <f aca="false">IF($C109="","",IF(AND($W109=1,OR($C109="Дом",$C109="Кафе")),ИНФА!$F$17*(COUNTIFS($B$5:$B109,$B109,$C$5:$C109,$C109,$W$5:$W109,1)&lt;=COUNTIFS($B$5:$B$204,$B109,$C$5:$C$204,"Парк",$W$5:$W$204,1)),0))</f>
        <v/>
      </c>
      <c r="AG109" s="38" t="str">
        <f aca="false">IF($C109="","",IF($W109=1,IF(OR(AND($AE109&lt;&gt;"",IFERROR(INDEX($W$5:$W$204,MATCH($AE109,$A$5:$A$204,0))=1,FALSE()),IFERROR(INDEX($B$5:$B$204,MATCH($AE109,$A$5:$A$204,0))&lt;&gt;$B109,FALSE())),COUNTIFS($AE$5:$AE$204,$A109,$W$5:$W$204,1,$B$5:$B$204,"&lt;&gt;"&amp;$B109)&gt;0),ИНФА!$F$31,0),0))</f>
        <v/>
      </c>
    </row>
    <row r="110" customFormat="false" ht="15" hidden="false" customHeight="false" outlineLevel="0" collapsed="false">
      <c r="A110" s="15" t="n">
        <v>106</v>
      </c>
      <c r="B110" s="44"/>
      <c r="C110" s="44"/>
      <c r="D110" s="44"/>
      <c r="E110" s="44"/>
      <c r="F110" s="43"/>
      <c r="G110" s="38" t="str">
        <f aca="false">IF($C110="","",IF($F110&lt;&gt;"",$F110,INDEX(ИНФА!$M$5:$M$19,MATCH($C110,ИНФА!$I$5:$I$19,0))))</f>
        <v/>
      </c>
      <c r="H110" s="43"/>
      <c r="I110" s="38" t="str">
        <f aca="false">IF($C110="","",G110-N(H110))</f>
        <v/>
      </c>
      <c r="J110" s="37" t="str">
        <f aca="false">IF($C110="","",INDEX(ИНФА!$J$5:$J$19,MATCH($C110,ИНФА!$I$5:$I$19,0)))</f>
        <v/>
      </c>
      <c r="K110" s="37" t="str">
        <f aca="false">IF($C110="","",INDEX(ИНФА!$K$5:$K$19,MATCH($C110,ИНФА!$I$5:$I$19,0)))</f>
        <v/>
      </c>
      <c r="L110" s="38" t="str">
        <f aca="false">IF($C110="","",INDEX(ИНФА!$O$5:$O$19,MATCH($C110,ИНФА!$I$5:$I$19,0)))</f>
        <v/>
      </c>
      <c r="M110" s="38" t="str">
        <f aca="false">IF($C110="","",INDEX(ИНФА!$P$5:$P$19,MATCH($C110,ИНФА!$I$5:$I$19,0)))</f>
        <v/>
      </c>
      <c r="N110" s="44"/>
      <c r="O110" s="48" t="n">
        <f aca="false">IF(OR($C110="",$N110=""),1,IF(AND($J110="Услуги",IFERROR(INDEX($C$5:$C$204,MATCH($N110,$A$5:$A$204,0))=INDEX(ИНФА!$L$5:$L$19,MATCH($C110,ИНФА!$I$5:$I$19,0)),FALSE()),IFERROR(INDEX($W$5:$W$204,MATCH($N110,$A$5:$A$204,0))=1,FALSE()),COUNTIF($N$5:$N110,$N110)&lt;=ИНФА!$F$16),1+ИНФА!$F$15,1))</f>
        <v>1</v>
      </c>
      <c r="P110" s="47" t="str">
        <f aca="false">IF($C110="","",IF($J110&lt;&gt;"Услуги","",IF($N110="","нет поставщика — нужен "&amp;INDEX(ИНФА!$L$5:$L$19,MATCH($C110,ИНФА!$I$5:$I$19,0)),IF($O110&gt;1,"✓ поставка работает (+50%)",IF(IFERROR(INDEX($C$5:$C$204,MATCH($N110,$A$5:$A$204,0))&lt;&gt;INDEX(ИНФА!$L$5:$L$19,MATCH($C110,ИНФА!$I$5:$I$19,0)),TRUE()),"не тот поставщик: нужен "&amp;INDEX(ИНФА!$L$5:$L$19,MATCH($C110,ИНФА!$I$5:$I$19,0)),IF(COUNTIF($N$5:$N110,$N110)&gt;ИНФА!$F$16,"поставщик перегружен","поставщик ещё не работает или продан"))))))</f>
        <v/>
      </c>
      <c r="Q110" s="44"/>
      <c r="R110" s="48" t="str">
        <f aca="false">IF($C110="","",IF($Q110="",1,IFERROR(INDEX(НАУКА!$K$5:$K$44,MATCH($Q110,НАУКА!$A$5:$A$44,0)),1)))</f>
        <v/>
      </c>
      <c r="S110" s="37" t="str">
        <f aca="false">IF($Q110="","",IFERROR(INDEX(НАУКА!$G$5:$G$44,MATCH($Q110,НАУКА!$A$5:$A$44,0)),""))</f>
        <v/>
      </c>
      <c r="T110" s="44"/>
      <c r="U110" s="44"/>
      <c r="V110" s="43"/>
      <c r="W110" s="37" t="n">
        <f aca="false">IF(OR($C110="",$D110=""),0,IF(AND($D110&lt;ИНФА!$F$5,OR($T110="",$T110&gt;=ИНФА!$F$5)),1,0))</f>
        <v>0</v>
      </c>
      <c r="X110" s="46" t="str">
        <f aca="false">IF($C110="","",INDEX(СОБЫТИЯ!$B$5:$K$8,MATCH($K110,СОБЫТИЯ!$A$5:$A$8,0),ИНФА!$F$5))</f>
        <v/>
      </c>
      <c r="Y110" s="42" t="str">
        <f aca="false">IF($C110="","",IF($W110=1,ROUND($L110*$O110*IF(AND($Q110&lt;&gt;"",$S110&lt;&gt;""),IF($S110&lt;ИНФА!$F$5,$R110,1),1)*$X110,0)-$M110+N($AF110)+N($AG110),0))</f>
        <v/>
      </c>
      <c r="Z110" s="38" t="str">
        <f aca="false">IF($C110="","",IF($T110="",INDEX(ИНФА!$M$5:$M$19,MATCH($C110,ИНФА!$I$5:$I$19,0)),0))</f>
        <v/>
      </c>
      <c r="AA110" s="38" t="str">
        <f aca="false">IF(OR($C110="",$T110=""),"",IF($V110&lt;&gt;"",$V110,INDEX(ИНФА!$N$5:$N$19,MATCH($C110,ИНФА!$I$5:$I$19,0))))</f>
        <v/>
      </c>
      <c r="AB110" s="37" t="str">
        <f aca="false">IF($C110="","",IF($T110&lt;&gt;"",IF($U110&lt;&gt;"","продано компании "&amp;$U110&amp;" в цикле "&amp;$T110,"продано Инфраструктуре в цикле "&amp;$T110),IF($D110&gt;=ИНФА!$F$5,"доход со следующего цикла","приносит доход")))</f>
        <v/>
      </c>
      <c r="AC110" s="47" t="str">
        <f aca="false">IF($C110="","",IF($F110="","",IF($E110="","укажите продавца; ",IF(OR($F110&lt;INDEX(ИНФА!$N$5:$N$19,MATCH($C110,ИНФА!$I$5:$I$19,0)),$F110&gt;INDEX(ИНФА!$M$5:$M$19,MATCH($C110,ИНФА!$I$5:$I$19,0))),"цена покупки вне коридора! ","")))&amp;IF($U110="","",IF(OR($V110="",$T110=""),"укажите цикл и цену продажи; ",IF(OR($V110&lt;INDEX(ИНФА!$N$5:$N$19,MATCH($C110,ИНФА!$I$5:$I$19,0)),$V110&gt;INDEX(ИНФА!$M$5:$M$19,MATCH($C110,ИНФА!$I$5:$I$19,0))),"цена продажи вне коридора! ","")))&amp;IF(AND($T110="",COUNTIFS($C$5:$C110,$C110,$T$5:$T110,"")&gt;INDEX(ИНФА!$Q$5:$Q$19,MATCH($C110,ИНФА!$I$5:$I$19,0))),"лотов нет! ","")&amp;IF(AND($E110&lt;&gt;"",$F110=""),"укажите цену сделки; ","")&amp;IF(AND(N($H110)&gt;0,OR($AD110="",$AD110="Профессия"),OR($H110&gt;ИНФА!$F$29,$I110&lt;INDEX(ИНФА!$N$5:$N$19,MATCH($C110,ИНФА!$I$5:$I$19,0))+ИНФА!$F$30)),"скидка больше лимита или цена ниже выкупа + 500! ","")&amp;IF($AE110="","",IF(IFERROR(INDEX($B$5:$B$204,MATCH($AE110,$A$5:$A$204,0))=$B110,TRUE()),"бизнес-пара — только со зданием другой компании; ",""))&amp;IF($Q110="","",IF(IFERROR(INDEX(НАУКА!$B$5:$B$44,MATCH($Q110,НАУКА!$A$5:$A$44,0))&lt;&gt;$B110,FALSE()),"патент другой компании — нужна лицензия или соглашение; ","")))</f>
        <v/>
      </c>
      <c r="AD110" s="44"/>
      <c r="AE110" s="44"/>
      <c r="AF110" s="38" t="str">
        <f aca="false">IF($C110="","",IF(AND($W110=1,OR($C110="Дом",$C110="Кафе")),ИНФА!$F$17*(COUNTIFS($B$5:$B110,$B110,$C$5:$C110,$C110,$W$5:$W110,1)&lt;=COUNTIFS($B$5:$B$204,$B110,$C$5:$C$204,"Парк",$W$5:$W$204,1)),0))</f>
        <v/>
      </c>
      <c r="AG110" s="38" t="str">
        <f aca="false">IF($C110="","",IF($W110=1,IF(OR(AND($AE110&lt;&gt;"",IFERROR(INDEX($W$5:$W$204,MATCH($AE110,$A$5:$A$204,0))=1,FALSE()),IFERROR(INDEX($B$5:$B$204,MATCH($AE110,$A$5:$A$204,0))&lt;&gt;$B110,FALSE())),COUNTIFS($AE$5:$AE$204,$A110,$W$5:$W$204,1,$B$5:$B$204,"&lt;&gt;"&amp;$B110)&gt;0),ИНФА!$F$31,0),0))</f>
        <v/>
      </c>
    </row>
    <row r="111" customFormat="false" ht="15" hidden="false" customHeight="false" outlineLevel="0" collapsed="false">
      <c r="A111" s="15" t="n">
        <v>107</v>
      </c>
      <c r="B111" s="44"/>
      <c r="C111" s="44"/>
      <c r="D111" s="44"/>
      <c r="E111" s="44"/>
      <c r="F111" s="43"/>
      <c r="G111" s="38" t="str">
        <f aca="false">IF($C111="","",IF($F111&lt;&gt;"",$F111,INDEX(ИНФА!$M$5:$M$19,MATCH($C111,ИНФА!$I$5:$I$19,0))))</f>
        <v/>
      </c>
      <c r="H111" s="43"/>
      <c r="I111" s="38" t="str">
        <f aca="false">IF($C111="","",G111-N(H111))</f>
        <v/>
      </c>
      <c r="J111" s="37" t="str">
        <f aca="false">IF($C111="","",INDEX(ИНФА!$J$5:$J$19,MATCH($C111,ИНФА!$I$5:$I$19,0)))</f>
        <v/>
      </c>
      <c r="K111" s="37" t="str">
        <f aca="false">IF($C111="","",INDEX(ИНФА!$K$5:$K$19,MATCH($C111,ИНФА!$I$5:$I$19,0)))</f>
        <v/>
      </c>
      <c r="L111" s="38" t="str">
        <f aca="false">IF($C111="","",INDEX(ИНФА!$O$5:$O$19,MATCH($C111,ИНФА!$I$5:$I$19,0)))</f>
        <v/>
      </c>
      <c r="M111" s="38" t="str">
        <f aca="false">IF($C111="","",INDEX(ИНФА!$P$5:$P$19,MATCH($C111,ИНФА!$I$5:$I$19,0)))</f>
        <v/>
      </c>
      <c r="N111" s="44"/>
      <c r="O111" s="48" t="n">
        <f aca="false">IF(OR($C111="",$N111=""),1,IF(AND($J111="Услуги",IFERROR(INDEX($C$5:$C$204,MATCH($N111,$A$5:$A$204,0))=INDEX(ИНФА!$L$5:$L$19,MATCH($C111,ИНФА!$I$5:$I$19,0)),FALSE()),IFERROR(INDEX($W$5:$W$204,MATCH($N111,$A$5:$A$204,0))=1,FALSE()),COUNTIF($N$5:$N111,$N111)&lt;=ИНФА!$F$16),1+ИНФА!$F$15,1))</f>
        <v>1</v>
      </c>
      <c r="P111" s="47" t="str">
        <f aca="false">IF($C111="","",IF($J111&lt;&gt;"Услуги","",IF($N111="","нет поставщика — нужен "&amp;INDEX(ИНФА!$L$5:$L$19,MATCH($C111,ИНФА!$I$5:$I$19,0)),IF($O111&gt;1,"✓ поставка работает (+50%)",IF(IFERROR(INDEX($C$5:$C$204,MATCH($N111,$A$5:$A$204,0))&lt;&gt;INDEX(ИНФА!$L$5:$L$19,MATCH($C111,ИНФА!$I$5:$I$19,0)),TRUE()),"не тот поставщик: нужен "&amp;INDEX(ИНФА!$L$5:$L$19,MATCH($C111,ИНФА!$I$5:$I$19,0)),IF(COUNTIF($N$5:$N111,$N111)&gt;ИНФА!$F$16,"поставщик перегружен","поставщик ещё не работает или продан"))))))</f>
        <v/>
      </c>
      <c r="Q111" s="44"/>
      <c r="R111" s="48" t="str">
        <f aca="false">IF($C111="","",IF($Q111="",1,IFERROR(INDEX(НАУКА!$K$5:$K$44,MATCH($Q111,НАУКА!$A$5:$A$44,0)),1)))</f>
        <v/>
      </c>
      <c r="S111" s="37" t="str">
        <f aca="false">IF($Q111="","",IFERROR(INDEX(НАУКА!$G$5:$G$44,MATCH($Q111,НАУКА!$A$5:$A$44,0)),""))</f>
        <v/>
      </c>
      <c r="T111" s="44"/>
      <c r="U111" s="44"/>
      <c r="V111" s="43"/>
      <c r="W111" s="37" t="n">
        <f aca="false">IF(OR($C111="",$D111=""),0,IF(AND($D111&lt;ИНФА!$F$5,OR($T111="",$T111&gt;=ИНФА!$F$5)),1,0))</f>
        <v>0</v>
      </c>
      <c r="X111" s="46" t="str">
        <f aca="false">IF($C111="","",INDEX(СОБЫТИЯ!$B$5:$K$8,MATCH($K111,СОБЫТИЯ!$A$5:$A$8,0),ИНФА!$F$5))</f>
        <v/>
      </c>
      <c r="Y111" s="42" t="str">
        <f aca="false">IF($C111="","",IF($W111=1,ROUND($L111*$O111*IF(AND($Q111&lt;&gt;"",$S111&lt;&gt;""),IF($S111&lt;ИНФА!$F$5,$R111,1),1)*$X111,0)-$M111+N($AF111)+N($AG111),0))</f>
        <v/>
      </c>
      <c r="Z111" s="38" t="str">
        <f aca="false">IF($C111="","",IF($T111="",INDEX(ИНФА!$M$5:$M$19,MATCH($C111,ИНФА!$I$5:$I$19,0)),0))</f>
        <v/>
      </c>
      <c r="AA111" s="38" t="str">
        <f aca="false">IF(OR($C111="",$T111=""),"",IF($V111&lt;&gt;"",$V111,INDEX(ИНФА!$N$5:$N$19,MATCH($C111,ИНФА!$I$5:$I$19,0))))</f>
        <v/>
      </c>
      <c r="AB111" s="37" t="str">
        <f aca="false">IF($C111="","",IF($T111&lt;&gt;"",IF($U111&lt;&gt;"","продано компании "&amp;$U111&amp;" в цикле "&amp;$T111,"продано Инфраструктуре в цикле "&amp;$T111),IF($D111&gt;=ИНФА!$F$5,"доход со следующего цикла","приносит доход")))</f>
        <v/>
      </c>
      <c r="AC111" s="47" t="str">
        <f aca="false">IF($C111="","",IF($F111="","",IF($E111="","укажите продавца; ",IF(OR($F111&lt;INDEX(ИНФА!$N$5:$N$19,MATCH($C111,ИНФА!$I$5:$I$19,0)),$F111&gt;INDEX(ИНФА!$M$5:$M$19,MATCH($C111,ИНФА!$I$5:$I$19,0))),"цена покупки вне коридора! ","")))&amp;IF($U111="","",IF(OR($V111="",$T111=""),"укажите цикл и цену продажи; ",IF(OR($V111&lt;INDEX(ИНФА!$N$5:$N$19,MATCH($C111,ИНФА!$I$5:$I$19,0)),$V111&gt;INDEX(ИНФА!$M$5:$M$19,MATCH($C111,ИНФА!$I$5:$I$19,0))),"цена продажи вне коридора! ","")))&amp;IF(AND($T111="",COUNTIFS($C$5:$C111,$C111,$T$5:$T111,"")&gt;INDEX(ИНФА!$Q$5:$Q$19,MATCH($C111,ИНФА!$I$5:$I$19,0))),"лотов нет! ","")&amp;IF(AND($E111&lt;&gt;"",$F111=""),"укажите цену сделки; ","")&amp;IF(AND(N($H111)&gt;0,OR($AD111="",$AD111="Профессия"),OR($H111&gt;ИНФА!$F$29,$I111&lt;INDEX(ИНФА!$N$5:$N$19,MATCH($C111,ИНФА!$I$5:$I$19,0))+ИНФА!$F$30)),"скидка больше лимита или цена ниже выкупа + 500! ","")&amp;IF($AE111="","",IF(IFERROR(INDEX($B$5:$B$204,MATCH($AE111,$A$5:$A$204,0))=$B111,TRUE()),"бизнес-пара — только со зданием другой компании; ",""))&amp;IF($Q111="","",IF(IFERROR(INDEX(НАУКА!$B$5:$B$44,MATCH($Q111,НАУКА!$A$5:$A$44,0))&lt;&gt;$B111,FALSE()),"патент другой компании — нужна лицензия или соглашение; ","")))</f>
        <v/>
      </c>
      <c r="AD111" s="44"/>
      <c r="AE111" s="44"/>
      <c r="AF111" s="38" t="str">
        <f aca="false">IF($C111="","",IF(AND($W111=1,OR($C111="Дом",$C111="Кафе")),ИНФА!$F$17*(COUNTIFS($B$5:$B111,$B111,$C$5:$C111,$C111,$W$5:$W111,1)&lt;=COUNTIFS($B$5:$B$204,$B111,$C$5:$C$204,"Парк",$W$5:$W$204,1)),0))</f>
        <v/>
      </c>
      <c r="AG111" s="38" t="str">
        <f aca="false">IF($C111="","",IF($W111=1,IF(OR(AND($AE111&lt;&gt;"",IFERROR(INDEX($W$5:$W$204,MATCH($AE111,$A$5:$A$204,0))=1,FALSE()),IFERROR(INDEX($B$5:$B$204,MATCH($AE111,$A$5:$A$204,0))&lt;&gt;$B111,FALSE())),COUNTIFS($AE$5:$AE$204,$A111,$W$5:$W$204,1,$B$5:$B$204,"&lt;&gt;"&amp;$B111)&gt;0),ИНФА!$F$31,0),0))</f>
        <v/>
      </c>
    </row>
    <row r="112" customFormat="false" ht="15" hidden="false" customHeight="false" outlineLevel="0" collapsed="false">
      <c r="A112" s="15" t="n">
        <v>108</v>
      </c>
      <c r="B112" s="44"/>
      <c r="C112" s="44"/>
      <c r="D112" s="44"/>
      <c r="E112" s="44"/>
      <c r="F112" s="43"/>
      <c r="G112" s="38" t="str">
        <f aca="false">IF($C112="","",IF($F112&lt;&gt;"",$F112,INDEX(ИНФА!$M$5:$M$19,MATCH($C112,ИНФА!$I$5:$I$19,0))))</f>
        <v/>
      </c>
      <c r="H112" s="43"/>
      <c r="I112" s="38" t="str">
        <f aca="false">IF($C112="","",G112-N(H112))</f>
        <v/>
      </c>
      <c r="J112" s="37" t="str">
        <f aca="false">IF($C112="","",INDEX(ИНФА!$J$5:$J$19,MATCH($C112,ИНФА!$I$5:$I$19,0)))</f>
        <v/>
      </c>
      <c r="K112" s="37" t="str">
        <f aca="false">IF($C112="","",INDEX(ИНФА!$K$5:$K$19,MATCH($C112,ИНФА!$I$5:$I$19,0)))</f>
        <v/>
      </c>
      <c r="L112" s="38" t="str">
        <f aca="false">IF($C112="","",INDEX(ИНФА!$O$5:$O$19,MATCH($C112,ИНФА!$I$5:$I$19,0)))</f>
        <v/>
      </c>
      <c r="M112" s="38" t="str">
        <f aca="false">IF($C112="","",INDEX(ИНФА!$P$5:$P$19,MATCH($C112,ИНФА!$I$5:$I$19,0)))</f>
        <v/>
      </c>
      <c r="N112" s="44"/>
      <c r="O112" s="48" t="n">
        <f aca="false">IF(OR($C112="",$N112=""),1,IF(AND($J112="Услуги",IFERROR(INDEX($C$5:$C$204,MATCH($N112,$A$5:$A$204,0))=INDEX(ИНФА!$L$5:$L$19,MATCH($C112,ИНФА!$I$5:$I$19,0)),FALSE()),IFERROR(INDEX($W$5:$W$204,MATCH($N112,$A$5:$A$204,0))=1,FALSE()),COUNTIF($N$5:$N112,$N112)&lt;=ИНФА!$F$16),1+ИНФА!$F$15,1))</f>
        <v>1</v>
      </c>
      <c r="P112" s="47" t="str">
        <f aca="false">IF($C112="","",IF($J112&lt;&gt;"Услуги","",IF($N112="","нет поставщика — нужен "&amp;INDEX(ИНФА!$L$5:$L$19,MATCH($C112,ИНФА!$I$5:$I$19,0)),IF($O112&gt;1,"✓ поставка работает (+50%)",IF(IFERROR(INDEX($C$5:$C$204,MATCH($N112,$A$5:$A$204,0))&lt;&gt;INDEX(ИНФА!$L$5:$L$19,MATCH($C112,ИНФА!$I$5:$I$19,0)),TRUE()),"не тот поставщик: нужен "&amp;INDEX(ИНФА!$L$5:$L$19,MATCH($C112,ИНФА!$I$5:$I$19,0)),IF(COUNTIF($N$5:$N112,$N112)&gt;ИНФА!$F$16,"поставщик перегружен","поставщик ещё не работает или продан"))))))</f>
        <v/>
      </c>
      <c r="Q112" s="44"/>
      <c r="R112" s="48" t="str">
        <f aca="false">IF($C112="","",IF($Q112="",1,IFERROR(INDEX(НАУКА!$K$5:$K$44,MATCH($Q112,НАУКА!$A$5:$A$44,0)),1)))</f>
        <v/>
      </c>
      <c r="S112" s="37" t="str">
        <f aca="false">IF($Q112="","",IFERROR(INDEX(НАУКА!$G$5:$G$44,MATCH($Q112,НАУКА!$A$5:$A$44,0)),""))</f>
        <v/>
      </c>
      <c r="T112" s="44"/>
      <c r="U112" s="44"/>
      <c r="V112" s="43"/>
      <c r="W112" s="37" t="n">
        <f aca="false">IF(OR($C112="",$D112=""),0,IF(AND($D112&lt;ИНФА!$F$5,OR($T112="",$T112&gt;=ИНФА!$F$5)),1,0))</f>
        <v>0</v>
      </c>
      <c r="X112" s="46" t="str">
        <f aca="false">IF($C112="","",INDEX(СОБЫТИЯ!$B$5:$K$8,MATCH($K112,СОБЫТИЯ!$A$5:$A$8,0),ИНФА!$F$5))</f>
        <v/>
      </c>
      <c r="Y112" s="42" t="str">
        <f aca="false">IF($C112="","",IF($W112=1,ROUND($L112*$O112*IF(AND($Q112&lt;&gt;"",$S112&lt;&gt;""),IF($S112&lt;ИНФА!$F$5,$R112,1),1)*$X112,0)-$M112+N($AF112)+N($AG112),0))</f>
        <v/>
      </c>
      <c r="Z112" s="38" t="str">
        <f aca="false">IF($C112="","",IF($T112="",INDEX(ИНФА!$M$5:$M$19,MATCH($C112,ИНФА!$I$5:$I$19,0)),0))</f>
        <v/>
      </c>
      <c r="AA112" s="38" t="str">
        <f aca="false">IF(OR($C112="",$T112=""),"",IF($V112&lt;&gt;"",$V112,INDEX(ИНФА!$N$5:$N$19,MATCH($C112,ИНФА!$I$5:$I$19,0))))</f>
        <v/>
      </c>
      <c r="AB112" s="37" t="str">
        <f aca="false">IF($C112="","",IF($T112&lt;&gt;"",IF($U112&lt;&gt;"","продано компании "&amp;$U112&amp;" в цикле "&amp;$T112,"продано Инфраструктуре в цикле "&amp;$T112),IF($D112&gt;=ИНФА!$F$5,"доход со следующего цикла","приносит доход")))</f>
        <v/>
      </c>
      <c r="AC112" s="47" t="str">
        <f aca="false">IF($C112="","",IF($F112="","",IF($E112="","укажите продавца; ",IF(OR($F112&lt;INDEX(ИНФА!$N$5:$N$19,MATCH($C112,ИНФА!$I$5:$I$19,0)),$F112&gt;INDEX(ИНФА!$M$5:$M$19,MATCH($C112,ИНФА!$I$5:$I$19,0))),"цена покупки вне коридора! ","")))&amp;IF($U112="","",IF(OR($V112="",$T112=""),"укажите цикл и цену продажи; ",IF(OR($V112&lt;INDEX(ИНФА!$N$5:$N$19,MATCH($C112,ИНФА!$I$5:$I$19,0)),$V112&gt;INDEX(ИНФА!$M$5:$M$19,MATCH($C112,ИНФА!$I$5:$I$19,0))),"цена продажи вне коридора! ","")))&amp;IF(AND($T112="",COUNTIFS($C$5:$C112,$C112,$T$5:$T112,"")&gt;INDEX(ИНФА!$Q$5:$Q$19,MATCH($C112,ИНФА!$I$5:$I$19,0))),"лотов нет! ","")&amp;IF(AND($E112&lt;&gt;"",$F112=""),"укажите цену сделки; ","")&amp;IF(AND(N($H112)&gt;0,OR($AD112="",$AD112="Профессия"),OR($H112&gt;ИНФА!$F$29,$I112&lt;INDEX(ИНФА!$N$5:$N$19,MATCH($C112,ИНФА!$I$5:$I$19,0))+ИНФА!$F$30)),"скидка больше лимита или цена ниже выкупа + 500! ","")&amp;IF($AE112="","",IF(IFERROR(INDEX($B$5:$B$204,MATCH($AE112,$A$5:$A$204,0))=$B112,TRUE()),"бизнес-пара — только со зданием другой компании; ",""))&amp;IF($Q112="","",IF(IFERROR(INDEX(НАУКА!$B$5:$B$44,MATCH($Q112,НАУКА!$A$5:$A$44,0))&lt;&gt;$B112,FALSE()),"патент другой компании — нужна лицензия или соглашение; ","")))</f>
        <v/>
      </c>
      <c r="AD112" s="44"/>
      <c r="AE112" s="44"/>
      <c r="AF112" s="38" t="str">
        <f aca="false">IF($C112="","",IF(AND($W112=1,OR($C112="Дом",$C112="Кафе")),ИНФА!$F$17*(COUNTIFS($B$5:$B112,$B112,$C$5:$C112,$C112,$W$5:$W112,1)&lt;=COUNTIFS($B$5:$B$204,$B112,$C$5:$C$204,"Парк",$W$5:$W$204,1)),0))</f>
        <v/>
      </c>
      <c r="AG112" s="38" t="str">
        <f aca="false">IF($C112="","",IF($W112=1,IF(OR(AND($AE112&lt;&gt;"",IFERROR(INDEX($W$5:$W$204,MATCH($AE112,$A$5:$A$204,0))=1,FALSE()),IFERROR(INDEX($B$5:$B$204,MATCH($AE112,$A$5:$A$204,0))&lt;&gt;$B112,FALSE())),COUNTIFS($AE$5:$AE$204,$A112,$W$5:$W$204,1,$B$5:$B$204,"&lt;&gt;"&amp;$B112)&gt;0),ИНФА!$F$31,0),0))</f>
        <v/>
      </c>
    </row>
    <row r="113" customFormat="false" ht="15" hidden="false" customHeight="false" outlineLevel="0" collapsed="false">
      <c r="A113" s="15" t="n">
        <v>109</v>
      </c>
      <c r="B113" s="44"/>
      <c r="C113" s="44"/>
      <c r="D113" s="44"/>
      <c r="E113" s="44"/>
      <c r="F113" s="43"/>
      <c r="G113" s="38" t="str">
        <f aca="false">IF($C113="","",IF($F113&lt;&gt;"",$F113,INDEX(ИНФА!$M$5:$M$19,MATCH($C113,ИНФА!$I$5:$I$19,0))))</f>
        <v/>
      </c>
      <c r="H113" s="43"/>
      <c r="I113" s="38" t="str">
        <f aca="false">IF($C113="","",G113-N(H113))</f>
        <v/>
      </c>
      <c r="J113" s="37" t="str">
        <f aca="false">IF($C113="","",INDEX(ИНФА!$J$5:$J$19,MATCH($C113,ИНФА!$I$5:$I$19,0)))</f>
        <v/>
      </c>
      <c r="K113" s="37" t="str">
        <f aca="false">IF($C113="","",INDEX(ИНФА!$K$5:$K$19,MATCH($C113,ИНФА!$I$5:$I$19,0)))</f>
        <v/>
      </c>
      <c r="L113" s="38" t="str">
        <f aca="false">IF($C113="","",INDEX(ИНФА!$O$5:$O$19,MATCH($C113,ИНФА!$I$5:$I$19,0)))</f>
        <v/>
      </c>
      <c r="M113" s="38" t="str">
        <f aca="false">IF($C113="","",INDEX(ИНФА!$P$5:$P$19,MATCH($C113,ИНФА!$I$5:$I$19,0)))</f>
        <v/>
      </c>
      <c r="N113" s="44"/>
      <c r="O113" s="48" t="n">
        <f aca="false">IF(OR($C113="",$N113=""),1,IF(AND($J113="Услуги",IFERROR(INDEX($C$5:$C$204,MATCH($N113,$A$5:$A$204,0))=INDEX(ИНФА!$L$5:$L$19,MATCH($C113,ИНФА!$I$5:$I$19,0)),FALSE()),IFERROR(INDEX($W$5:$W$204,MATCH($N113,$A$5:$A$204,0))=1,FALSE()),COUNTIF($N$5:$N113,$N113)&lt;=ИНФА!$F$16),1+ИНФА!$F$15,1))</f>
        <v>1</v>
      </c>
      <c r="P113" s="47" t="str">
        <f aca="false">IF($C113="","",IF($J113&lt;&gt;"Услуги","",IF($N113="","нет поставщика — нужен "&amp;INDEX(ИНФА!$L$5:$L$19,MATCH($C113,ИНФА!$I$5:$I$19,0)),IF($O113&gt;1,"✓ поставка работает (+50%)",IF(IFERROR(INDEX($C$5:$C$204,MATCH($N113,$A$5:$A$204,0))&lt;&gt;INDEX(ИНФА!$L$5:$L$19,MATCH($C113,ИНФА!$I$5:$I$19,0)),TRUE()),"не тот поставщик: нужен "&amp;INDEX(ИНФА!$L$5:$L$19,MATCH($C113,ИНФА!$I$5:$I$19,0)),IF(COUNTIF($N$5:$N113,$N113)&gt;ИНФА!$F$16,"поставщик перегружен","поставщик ещё не работает или продан"))))))</f>
        <v/>
      </c>
      <c r="Q113" s="44"/>
      <c r="R113" s="48" t="str">
        <f aca="false">IF($C113="","",IF($Q113="",1,IFERROR(INDEX(НАУКА!$K$5:$K$44,MATCH($Q113,НАУКА!$A$5:$A$44,0)),1)))</f>
        <v/>
      </c>
      <c r="S113" s="37" t="str">
        <f aca="false">IF($Q113="","",IFERROR(INDEX(НАУКА!$G$5:$G$44,MATCH($Q113,НАУКА!$A$5:$A$44,0)),""))</f>
        <v/>
      </c>
      <c r="T113" s="44"/>
      <c r="U113" s="44"/>
      <c r="V113" s="43"/>
      <c r="W113" s="37" t="n">
        <f aca="false">IF(OR($C113="",$D113=""),0,IF(AND($D113&lt;ИНФА!$F$5,OR($T113="",$T113&gt;=ИНФА!$F$5)),1,0))</f>
        <v>0</v>
      </c>
      <c r="X113" s="46" t="str">
        <f aca="false">IF($C113="","",INDEX(СОБЫТИЯ!$B$5:$K$8,MATCH($K113,СОБЫТИЯ!$A$5:$A$8,0),ИНФА!$F$5))</f>
        <v/>
      </c>
      <c r="Y113" s="42" t="str">
        <f aca="false">IF($C113="","",IF($W113=1,ROUND($L113*$O113*IF(AND($Q113&lt;&gt;"",$S113&lt;&gt;""),IF($S113&lt;ИНФА!$F$5,$R113,1),1)*$X113,0)-$M113+N($AF113)+N($AG113),0))</f>
        <v/>
      </c>
      <c r="Z113" s="38" t="str">
        <f aca="false">IF($C113="","",IF($T113="",INDEX(ИНФА!$M$5:$M$19,MATCH($C113,ИНФА!$I$5:$I$19,0)),0))</f>
        <v/>
      </c>
      <c r="AA113" s="38" t="str">
        <f aca="false">IF(OR($C113="",$T113=""),"",IF($V113&lt;&gt;"",$V113,INDEX(ИНФА!$N$5:$N$19,MATCH($C113,ИНФА!$I$5:$I$19,0))))</f>
        <v/>
      </c>
      <c r="AB113" s="37" t="str">
        <f aca="false">IF($C113="","",IF($T113&lt;&gt;"",IF($U113&lt;&gt;"","продано компании "&amp;$U113&amp;" в цикле "&amp;$T113,"продано Инфраструктуре в цикле "&amp;$T113),IF($D113&gt;=ИНФА!$F$5,"доход со следующего цикла","приносит доход")))</f>
        <v/>
      </c>
      <c r="AC113" s="47" t="str">
        <f aca="false">IF($C113="","",IF($F113="","",IF($E113="","укажите продавца; ",IF(OR($F113&lt;INDEX(ИНФА!$N$5:$N$19,MATCH($C113,ИНФА!$I$5:$I$19,0)),$F113&gt;INDEX(ИНФА!$M$5:$M$19,MATCH($C113,ИНФА!$I$5:$I$19,0))),"цена покупки вне коридора! ","")))&amp;IF($U113="","",IF(OR($V113="",$T113=""),"укажите цикл и цену продажи; ",IF(OR($V113&lt;INDEX(ИНФА!$N$5:$N$19,MATCH($C113,ИНФА!$I$5:$I$19,0)),$V113&gt;INDEX(ИНФА!$M$5:$M$19,MATCH($C113,ИНФА!$I$5:$I$19,0))),"цена продажи вне коридора! ","")))&amp;IF(AND($T113="",COUNTIFS($C$5:$C113,$C113,$T$5:$T113,"")&gt;INDEX(ИНФА!$Q$5:$Q$19,MATCH($C113,ИНФА!$I$5:$I$19,0))),"лотов нет! ","")&amp;IF(AND($E113&lt;&gt;"",$F113=""),"укажите цену сделки; ","")&amp;IF(AND(N($H113)&gt;0,OR($AD113="",$AD113="Профессия"),OR($H113&gt;ИНФА!$F$29,$I113&lt;INDEX(ИНФА!$N$5:$N$19,MATCH($C113,ИНФА!$I$5:$I$19,0))+ИНФА!$F$30)),"скидка больше лимита или цена ниже выкупа + 500! ","")&amp;IF($AE113="","",IF(IFERROR(INDEX($B$5:$B$204,MATCH($AE113,$A$5:$A$204,0))=$B113,TRUE()),"бизнес-пара — только со зданием другой компании; ",""))&amp;IF($Q113="","",IF(IFERROR(INDEX(НАУКА!$B$5:$B$44,MATCH($Q113,НАУКА!$A$5:$A$44,0))&lt;&gt;$B113,FALSE()),"патент другой компании — нужна лицензия или соглашение; ","")))</f>
        <v/>
      </c>
      <c r="AD113" s="44"/>
      <c r="AE113" s="44"/>
      <c r="AF113" s="38" t="str">
        <f aca="false">IF($C113="","",IF(AND($W113=1,OR($C113="Дом",$C113="Кафе")),ИНФА!$F$17*(COUNTIFS($B$5:$B113,$B113,$C$5:$C113,$C113,$W$5:$W113,1)&lt;=COUNTIFS($B$5:$B$204,$B113,$C$5:$C$204,"Парк",$W$5:$W$204,1)),0))</f>
        <v/>
      </c>
      <c r="AG113" s="38" t="str">
        <f aca="false">IF($C113="","",IF($W113=1,IF(OR(AND($AE113&lt;&gt;"",IFERROR(INDEX($W$5:$W$204,MATCH($AE113,$A$5:$A$204,0))=1,FALSE()),IFERROR(INDEX($B$5:$B$204,MATCH($AE113,$A$5:$A$204,0))&lt;&gt;$B113,FALSE())),COUNTIFS($AE$5:$AE$204,$A113,$W$5:$W$204,1,$B$5:$B$204,"&lt;&gt;"&amp;$B113)&gt;0),ИНФА!$F$31,0),0))</f>
        <v/>
      </c>
    </row>
    <row r="114" customFormat="false" ht="15" hidden="false" customHeight="false" outlineLevel="0" collapsed="false">
      <c r="A114" s="15" t="n">
        <v>110</v>
      </c>
      <c r="B114" s="44"/>
      <c r="C114" s="44"/>
      <c r="D114" s="44"/>
      <c r="E114" s="44"/>
      <c r="F114" s="43"/>
      <c r="G114" s="38" t="str">
        <f aca="false">IF($C114="","",IF($F114&lt;&gt;"",$F114,INDEX(ИНФА!$M$5:$M$19,MATCH($C114,ИНФА!$I$5:$I$19,0))))</f>
        <v/>
      </c>
      <c r="H114" s="43"/>
      <c r="I114" s="38" t="str">
        <f aca="false">IF($C114="","",G114-N(H114))</f>
        <v/>
      </c>
      <c r="J114" s="37" t="str">
        <f aca="false">IF($C114="","",INDEX(ИНФА!$J$5:$J$19,MATCH($C114,ИНФА!$I$5:$I$19,0)))</f>
        <v/>
      </c>
      <c r="K114" s="37" t="str">
        <f aca="false">IF($C114="","",INDEX(ИНФА!$K$5:$K$19,MATCH($C114,ИНФА!$I$5:$I$19,0)))</f>
        <v/>
      </c>
      <c r="L114" s="38" t="str">
        <f aca="false">IF($C114="","",INDEX(ИНФА!$O$5:$O$19,MATCH($C114,ИНФА!$I$5:$I$19,0)))</f>
        <v/>
      </c>
      <c r="M114" s="38" t="str">
        <f aca="false">IF($C114="","",INDEX(ИНФА!$P$5:$P$19,MATCH($C114,ИНФА!$I$5:$I$19,0)))</f>
        <v/>
      </c>
      <c r="N114" s="44"/>
      <c r="O114" s="48" t="n">
        <f aca="false">IF(OR($C114="",$N114=""),1,IF(AND($J114="Услуги",IFERROR(INDEX($C$5:$C$204,MATCH($N114,$A$5:$A$204,0))=INDEX(ИНФА!$L$5:$L$19,MATCH($C114,ИНФА!$I$5:$I$19,0)),FALSE()),IFERROR(INDEX($W$5:$W$204,MATCH($N114,$A$5:$A$204,0))=1,FALSE()),COUNTIF($N$5:$N114,$N114)&lt;=ИНФА!$F$16),1+ИНФА!$F$15,1))</f>
        <v>1</v>
      </c>
      <c r="P114" s="47" t="str">
        <f aca="false">IF($C114="","",IF($J114&lt;&gt;"Услуги","",IF($N114="","нет поставщика — нужен "&amp;INDEX(ИНФА!$L$5:$L$19,MATCH($C114,ИНФА!$I$5:$I$19,0)),IF($O114&gt;1,"✓ поставка работает (+50%)",IF(IFERROR(INDEX($C$5:$C$204,MATCH($N114,$A$5:$A$204,0))&lt;&gt;INDEX(ИНФА!$L$5:$L$19,MATCH($C114,ИНФА!$I$5:$I$19,0)),TRUE()),"не тот поставщик: нужен "&amp;INDEX(ИНФА!$L$5:$L$19,MATCH($C114,ИНФА!$I$5:$I$19,0)),IF(COUNTIF($N$5:$N114,$N114)&gt;ИНФА!$F$16,"поставщик перегружен","поставщик ещё не работает или продан"))))))</f>
        <v/>
      </c>
      <c r="Q114" s="44"/>
      <c r="R114" s="48" t="str">
        <f aca="false">IF($C114="","",IF($Q114="",1,IFERROR(INDEX(НАУКА!$K$5:$K$44,MATCH($Q114,НАУКА!$A$5:$A$44,0)),1)))</f>
        <v/>
      </c>
      <c r="S114" s="37" t="str">
        <f aca="false">IF($Q114="","",IFERROR(INDEX(НАУКА!$G$5:$G$44,MATCH($Q114,НАУКА!$A$5:$A$44,0)),""))</f>
        <v/>
      </c>
      <c r="T114" s="44"/>
      <c r="U114" s="44"/>
      <c r="V114" s="43"/>
      <c r="W114" s="37" t="n">
        <f aca="false">IF(OR($C114="",$D114=""),0,IF(AND($D114&lt;ИНФА!$F$5,OR($T114="",$T114&gt;=ИНФА!$F$5)),1,0))</f>
        <v>0</v>
      </c>
      <c r="X114" s="46" t="str">
        <f aca="false">IF($C114="","",INDEX(СОБЫТИЯ!$B$5:$K$8,MATCH($K114,СОБЫТИЯ!$A$5:$A$8,0),ИНФА!$F$5))</f>
        <v/>
      </c>
      <c r="Y114" s="42" t="str">
        <f aca="false">IF($C114="","",IF($W114=1,ROUND($L114*$O114*IF(AND($Q114&lt;&gt;"",$S114&lt;&gt;""),IF($S114&lt;ИНФА!$F$5,$R114,1),1)*$X114,0)-$M114+N($AF114)+N($AG114),0))</f>
        <v/>
      </c>
      <c r="Z114" s="38" t="str">
        <f aca="false">IF($C114="","",IF($T114="",INDEX(ИНФА!$M$5:$M$19,MATCH($C114,ИНФА!$I$5:$I$19,0)),0))</f>
        <v/>
      </c>
      <c r="AA114" s="38" t="str">
        <f aca="false">IF(OR($C114="",$T114=""),"",IF($V114&lt;&gt;"",$V114,INDEX(ИНФА!$N$5:$N$19,MATCH($C114,ИНФА!$I$5:$I$19,0))))</f>
        <v/>
      </c>
      <c r="AB114" s="37" t="str">
        <f aca="false">IF($C114="","",IF($T114&lt;&gt;"",IF($U114&lt;&gt;"","продано компании "&amp;$U114&amp;" в цикле "&amp;$T114,"продано Инфраструктуре в цикле "&amp;$T114),IF($D114&gt;=ИНФА!$F$5,"доход со следующего цикла","приносит доход")))</f>
        <v/>
      </c>
      <c r="AC114" s="47" t="str">
        <f aca="false">IF($C114="","",IF($F114="","",IF($E114="","укажите продавца; ",IF(OR($F114&lt;INDEX(ИНФА!$N$5:$N$19,MATCH($C114,ИНФА!$I$5:$I$19,0)),$F114&gt;INDEX(ИНФА!$M$5:$M$19,MATCH($C114,ИНФА!$I$5:$I$19,0))),"цена покупки вне коридора! ","")))&amp;IF($U114="","",IF(OR($V114="",$T114=""),"укажите цикл и цену продажи; ",IF(OR($V114&lt;INDEX(ИНФА!$N$5:$N$19,MATCH($C114,ИНФА!$I$5:$I$19,0)),$V114&gt;INDEX(ИНФА!$M$5:$M$19,MATCH($C114,ИНФА!$I$5:$I$19,0))),"цена продажи вне коридора! ","")))&amp;IF(AND($T114="",COUNTIFS($C$5:$C114,$C114,$T$5:$T114,"")&gt;INDEX(ИНФА!$Q$5:$Q$19,MATCH($C114,ИНФА!$I$5:$I$19,0))),"лотов нет! ","")&amp;IF(AND($E114&lt;&gt;"",$F114=""),"укажите цену сделки; ","")&amp;IF(AND(N($H114)&gt;0,OR($AD114="",$AD114="Профессия"),OR($H114&gt;ИНФА!$F$29,$I114&lt;INDEX(ИНФА!$N$5:$N$19,MATCH($C114,ИНФА!$I$5:$I$19,0))+ИНФА!$F$30)),"скидка больше лимита или цена ниже выкупа + 500! ","")&amp;IF($AE114="","",IF(IFERROR(INDEX($B$5:$B$204,MATCH($AE114,$A$5:$A$204,0))=$B114,TRUE()),"бизнес-пара — только со зданием другой компании; ",""))&amp;IF($Q114="","",IF(IFERROR(INDEX(НАУКА!$B$5:$B$44,MATCH($Q114,НАУКА!$A$5:$A$44,0))&lt;&gt;$B114,FALSE()),"патент другой компании — нужна лицензия или соглашение; ","")))</f>
        <v/>
      </c>
      <c r="AD114" s="44"/>
      <c r="AE114" s="44"/>
      <c r="AF114" s="38" t="str">
        <f aca="false">IF($C114="","",IF(AND($W114=1,OR($C114="Дом",$C114="Кафе")),ИНФА!$F$17*(COUNTIFS($B$5:$B114,$B114,$C$5:$C114,$C114,$W$5:$W114,1)&lt;=COUNTIFS($B$5:$B$204,$B114,$C$5:$C$204,"Парк",$W$5:$W$204,1)),0))</f>
        <v/>
      </c>
      <c r="AG114" s="38" t="str">
        <f aca="false">IF($C114="","",IF($W114=1,IF(OR(AND($AE114&lt;&gt;"",IFERROR(INDEX($W$5:$W$204,MATCH($AE114,$A$5:$A$204,0))=1,FALSE()),IFERROR(INDEX($B$5:$B$204,MATCH($AE114,$A$5:$A$204,0))&lt;&gt;$B114,FALSE())),COUNTIFS($AE$5:$AE$204,$A114,$W$5:$W$204,1,$B$5:$B$204,"&lt;&gt;"&amp;$B114)&gt;0),ИНФА!$F$31,0),0))</f>
        <v/>
      </c>
    </row>
    <row r="115" customFormat="false" ht="15" hidden="false" customHeight="false" outlineLevel="0" collapsed="false">
      <c r="A115" s="15" t="n">
        <v>111</v>
      </c>
      <c r="B115" s="44"/>
      <c r="C115" s="44"/>
      <c r="D115" s="44"/>
      <c r="E115" s="44"/>
      <c r="F115" s="43"/>
      <c r="G115" s="38" t="str">
        <f aca="false">IF($C115="","",IF($F115&lt;&gt;"",$F115,INDEX(ИНФА!$M$5:$M$19,MATCH($C115,ИНФА!$I$5:$I$19,0))))</f>
        <v/>
      </c>
      <c r="H115" s="43"/>
      <c r="I115" s="38" t="str">
        <f aca="false">IF($C115="","",G115-N(H115))</f>
        <v/>
      </c>
      <c r="J115" s="37" t="str">
        <f aca="false">IF($C115="","",INDEX(ИНФА!$J$5:$J$19,MATCH($C115,ИНФА!$I$5:$I$19,0)))</f>
        <v/>
      </c>
      <c r="K115" s="37" t="str">
        <f aca="false">IF($C115="","",INDEX(ИНФА!$K$5:$K$19,MATCH($C115,ИНФА!$I$5:$I$19,0)))</f>
        <v/>
      </c>
      <c r="L115" s="38" t="str">
        <f aca="false">IF($C115="","",INDEX(ИНФА!$O$5:$O$19,MATCH($C115,ИНФА!$I$5:$I$19,0)))</f>
        <v/>
      </c>
      <c r="M115" s="38" t="str">
        <f aca="false">IF($C115="","",INDEX(ИНФА!$P$5:$P$19,MATCH($C115,ИНФА!$I$5:$I$19,0)))</f>
        <v/>
      </c>
      <c r="N115" s="44"/>
      <c r="O115" s="48" t="n">
        <f aca="false">IF(OR($C115="",$N115=""),1,IF(AND($J115="Услуги",IFERROR(INDEX($C$5:$C$204,MATCH($N115,$A$5:$A$204,0))=INDEX(ИНФА!$L$5:$L$19,MATCH($C115,ИНФА!$I$5:$I$19,0)),FALSE()),IFERROR(INDEX($W$5:$W$204,MATCH($N115,$A$5:$A$204,0))=1,FALSE()),COUNTIF($N$5:$N115,$N115)&lt;=ИНФА!$F$16),1+ИНФА!$F$15,1))</f>
        <v>1</v>
      </c>
      <c r="P115" s="47" t="str">
        <f aca="false">IF($C115="","",IF($J115&lt;&gt;"Услуги","",IF($N115="","нет поставщика — нужен "&amp;INDEX(ИНФА!$L$5:$L$19,MATCH($C115,ИНФА!$I$5:$I$19,0)),IF($O115&gt;1,"✓ поставка работает (+50%)",IF(IFERROR(INDEX($C$5:$C$204,MATCH($N115,$A$5:$A$204,0))&lt;&gt;INDEX(ИНФА!$L$5:$L$19,MATCH($C115,ИНФА!$I$5:$I$19,0)),TRUE()),"не тот поставщик: нужен "&amp;INDEX(ИНФА!$L$5:$L$19,MATCH($C115,ИНФА!$I$5:$I$19,0)),IF(COUNTIF($N$5:$N115,$N115)&gt;ИНФА!$F$16,"поставщик перегружен","поставщик ещё не работает или продан"))))))</f>
        <v/>
      </c>
      <c r="Q115" s="44"/>
      <c r="R115" s="48" t="str">
        <f aca="false">IF($C115="","",IF($Q115="",1,IFERROR(INDEX(НАУКА!$K$5:$K$44,MATCH($Q115,НАУКА!$A$5:$A$44,0)),1)))</f>
        <v/>
      </c>
      <c r="S115" s="37" t="str">
        <f aca="false">IF($Q115="","",IFERROR(INDEX(НАУКА!$G$5:$G$44,MATCH($Q115,НАУКА!$A$5:$A$44,0)),""))</f>
        <v/>
      </c>
      <c r="T115" s="44"/>
      <c r="U115" s="44"/>
      <c r="V115" s="43"/>
      <c r="W115" s="37" t="n">
        <f aca="false">IF(OR($C115="",$D115=""),0,IF(AND($D115&lt;ИНФА!$F$5,OR($T115="",$T115&gt;=ИНФА!$F$5)),1,0))</f>
        <v>0</v>
      </c>
      <c r="X115" s="46" t="str">
        <f aca="false">IF($C115="","",INDEX(СОБЫТИЯ!$B$5:$K$8,MATCH($K115,СОБЫТИЯ!$A$5:$A$8,0),ИНФА!$F$5))</f>
        <v/>
      </c>
      <c r="Y115" s="42" t="str">
        <f aca="false">IF($C115="","",IF($W115=1,ROUND($L115*$O115*IF(AND($Q115&lt;&gt;"",$S115&lt;&gt;""),IF($S115&lt;ИНФА!$F$5,$R115,1),1)*$X115,0)-$M115+N($AF115)+N($AG115),0))</f>
        <v/>
      </c>
      <c r="Z115" s="38" t="str">
        <f aca="false">IF($C115="","",IF($T115="",INDEX(ИНФА!$M$5:$M$19,MATCH($C115,ИНФА!$I$5:$I$19,0)),0))</f>
        <v/>
      </c>
      <c r="AA115" s="38" t="str">
        <f aca="false">IF(OR($C115="",$T115=""),"",IF($V115&lt;&gt;"",$V115,INDEX(ИНФА!$N$5:$N$19,MATCH($C115,ИНФА!$I$5:$I$19,0))))</f>
        <v/>
      </c>
      <c r="AB115" s="37" t="str">
        <f aca="false">IF($C115="","",IF($T115&lt;&gt;"",IF($U115&lt;&gt;"","продано компании "&amp;$U115&amp;" в цикле "&amp;$T115,"продано Инфраструктуре в цикле "&amp;$T115),IF($D115&gt;=ИНФА!$F$5,"доход со следующего цикла","приносит доход")))</f>
        <v/>
      </c>
      <c r="AC115" s="47" t="str">
        <f aca="false">IF($C115="","",IF($F115="","",IF($E115="","укажите продавца; ",IF(OR($F115&lt;INDEX(ИНФА!$N$5:$N$19,MATCH($C115,ИНФА!$I$5:$I$19,0)),$F115&gt;INDEX(ИНФА!$M$5:$M$19,MATCH($C115,ИНФА!$I$5:$I$19,0))),"цена покупки вне коридора! ","")))&amp;IF($U115="","",IF(OR($V115="",$T115=""),"укажите цикл и цену продажи; ",IF(OR($V115&lt;INDEX(ИНФА!$N$5:$N$19,MATCH($C115,ИНФА!$I$5:$I$19,0)),$V115&gt;INDEX(ИНФА!$M$5:$M$19,MATCH($C115,ИНФА!$I$5:$I$19,0))),"цена продажи вне коридора! ","")))&amp;IF(AND($T115="",COUNTIFS($C$5:$C115,$C115,$T$5:$T115,"")&gt;INDEX(ИНФА!$Q$5:$Q$19,MATCH($C115,ИНФА!$I$5:$I$19,0))),"лотов нет! ","")&amp;IF(AND($E115&lt;&gt;"",$F115=""),"укажите цену сделки; ","")&amp;IF(AND(N($H115)&gt;0,OR($AD115="",$AD115="Профессия"),OR($H115&gt;ИНФА!$F$29,$I115&lt;INDEX(ИНФА!$N$5:$N$19,MATCH($C115,ИНФА!$I$5:$I$19,0))+ИНФА!$F$30)),"скидка больше лимита или цена ниже выкупа + 500! ","")&amp;IF($AE115="","",IF(IFERROR(INDEX($B$5:$B$204,MATCH($AE115,$A$5:$A$204,0))=$B115,TRUE()),"бизнес-пара — только со зданием другой компании; ",""))&amp;IF($Q115="","",IF(IFERROR(INDEX(НАУКА!$B$5:$B$44,MATCH($Q115,НАУКА!$A$5:$A$44,0))&lt;&gt;$B115,FALSE()),"патент другой компании — нужна лицензия или соглашение; ","")))</f>
        <v/>
      </c>
      <c r="AD115" s="44"/>
      <c r="AE115" s="44"/>
      <c r="AF115" s="38" t="str">
        <f aca="false">IF($C115="","",IF(AND($W115=1,OR($C115="Дом",$C115="Кафе")),ИНФА!$F$17*(COUNTIFS($B$5:$B115,$B115,$C$5:$C115,$C115,$W$5:$W115,1)&lt;=COUNTIFS($B$5:$B$204,$B115,$C$5:$C$204,"Парк",$W$5:$W$204,1)),0))</f>
        <v/>
      </c>
      <c r="AG115" s="38" t="str">
        <f aca="false">IF($C115="","",IF($W115=1,IF(OR(AND($AE115&lt;&gt;"",IFERROR(INDEX($W$5:$W$204,MATCH($AE115,$A$5:$A$204,0))=1,FALSE()),IFERROR(INDEX($B$5:$B$204,MATCH($AE115,$A$5:$A$204,0))&lt;&gt;$B115,FALSE())),COUNTIFS($AE$5:$AE$204,$A115,$W$5:$W$204,1,$B$5:$B$204,"&lt;&gt;"&amp;$B115)&gt;0),ИНФА!$F$31,0),0))</f>
        <v/>
      </c>
    </row>
    <row r="116" customFormat="false" ht="15" hidden="false" customHeight="false" outlineLevel="0" collapsed="false">
      <c r="A116" s="15" t="n">
        <v>112</v>
      </c>
      <c r="B116" s="44"/>
      <c r="C116" s="44"/>
      <c r="D116" s="44"/>
      <c r="E116" s="44"/>
      <c r="F116" s="43"/>
      <c r="G116" s="38" t="str">
        <f aca="false">IF($C116="","",IF($F116&lt;&gt;"",$F116,INDEX(ИНФА!$M$5:$M$19,MATCH($C116,ИНФА!$I$5:$I$19,0))))</f>
        <v/>
      </c>
      <c r="H116" s="43"/>
      <c r="I116" s="38" t="str">
        <f aca="false">IF($C116="","",G116-N(H116))</f>
        <v/>
      </c>
      <c r="J116" s="37" t="str">
        <f aca="false">IF($C116="","",INDEX(ИНФА!$J$5:$J$19,MATCH($C116,ИНФА!$I$5:$I$19,0)))</f>
        <v/>
      </c>
      <c r="K116" s="37" t="str">
        <f aca="false">IF($C116="","",INDEX(ИНФА!$K$5:$K$19,MATCH($C116,ИНФА!$I$5:$I$19,0)))</f>
        <v/>
      </c>
      <c r="L116" s="38" t="str">
        <f aca="false">IF($C116="","",INDEX(ИНФА!$O$5:$O$19,MATCH($C116,ИНФА!$I$5:$I$19,0)))</f>
        <v/>
      </c>
      <c r="M116" s="38" t="str">
        <f aca="false">IF($C116="","",INDEX(ИНФА!$P$5:$P$19,MATCH($C116,ИНФА!$I$5:$I$19,0)))</f>
        <v/>
      </c>
      <c r="N116" s="44"/>
      <c r="O116" s="48" t="n">
        <f aca="false">IF(OR($C116="",$N116=""),1,IF(AND($J116="Услуги",IFERROR(INDEX($C$5:$C$204,MATCH($N116,$A$5:$A$204,0))=INDEX(ИНФА!$L$5:$L$19,MATCH($C116,ИНФА!$I$5:$I$19,0)),FALSE()),IFERROR(INDEX($W$5:$W$204,MATCH($N116,$A$5:$A$204,0))=1,FALSE()),COUNTIF($N$5:$N116,$N116)&lt;=ИНФА!$F$16),1+ИНФА!$F$15,1))</f>
        <v>1</v>
      </c>
      <c r="P116" s="47" t="str">
        <f aca="false">IF($C116="","",IF($J116&lt;&gt;"Услуги","",IF($N116="","нет поставщика — нужен "&amp;INDEX(ИНФА!$L$5:$L$19,MATCH($C116,ИНФА!$I$5:$I$19,0)),IF($O116&gt;1,"✓ поставка работает (+50%)",IF(IFERROR(INDEX($C$5:$C$204,MATCH($N116,$A$5:$A$204,0))&lt;&gt;INDEX(ИНФА!$L$5:$L$19,MATCH($C116,ИНФА!$I$5:$I$19,0)),TRUE()),"не тот поставщик: нужен "&amp;INDEX(ИНФА!$L$5:$L$19,MATCH($C116,ИНФА!$I$5:$I$19,0)),IF(COUNTIF($N$5:$N116,$N116)&gt;ИНФА!$F$16,"поставщик перегружен","поставщик ещё не работает или продан"))))))</f>
        <v/>
      </c>
      <c r="Q116" s="44"/>
      <c r="R116" s="48" t="str">
        <f aca="false">IF($C116="","",IF($Q116="",1,IFERROR(INDEX(НАУКА!$K$5:$K$44,MATCH($Q116,НАУКА!$A$5:$A$44,0)),1)))</f>
        <v/>
      </c>
      <c r="S116" s="37" t="str">
        <f aca="false">IF($Q116="","",IFERROR(INDEX(НАУКА!$G$5:$G$44,MATCH($Q116,НАУКА!$A$5:$A$44,0)),""))</f>
        <v/>
      </c>
      <c r="T116" s="44"/>
      <c r="U116" s="44"/>
      <c r="V116" s="43"/>
      <c r="W116" s="37" t="n">
        <f aca="false">IF(OR($C116="",$D116=""),0,IF(AND($D116&lt;ИНФА!$F$5,OR($T116="",$T116&gt;=ИНФА!$F$5)),1,0))</f>
        <v>0</v>
      </c>
      <c r="X116" s="46" t="str">
        <f aca="false">IF($C116="","",INDEX(СОБЫТИЯ!$B$5:$K$8,MATCH($K116,СОБЫТИЯ!$A$5:$A$8,0),ИНФА!$F$5))</f>
        <v/>
      </c>
      <c r="Y116" s="42" t="str">
        <f aca="false">IF($C116="","",IF($W116=1,ROUND($L116*$O116*IF(AND($Q116&lt;&gt;"",$S116&lt;&gt;""),IF($S116&lt;ИНФА!$F$5,$R116,1),1)*$X116,0)-$M116+N($AF116)+N($AG116),0))</f>
        <v/>
      </c>
      <c r="Z116" s="38" t="str">
        <f aca="false">IF($C116="","",IF($T116="",INDEX(ИНФА!$M$5:$M$19,MATCH($C116,ИНФА!$I$5:$I$19,0)),0))</f>
        <v/>
      </c>
      <c r="AA116" s="38" t="str">
        <f aca="false">IF(OR($C116="",$T116=""),"",IF($V116&lt;&gt;"",$V116,INDEX(ИНФА!$N$5:$N$19,MATCH($C116,ИНФА!$I$5:$I$19,0))))</f>
        <v/>
      </c>
      <c r="AB116" s="37" t="str">
        <f aca="false">IF($C116="","",IF($T116&lt;&gt;"",IF($U116&lt;&gt;"","продано компании "&amp;$U116&amp;" в цикле "&amp;$T116,"продано Инфраструктуре в цикле "&amp;$T116),IF($D116&gt;=ИНФА!$F$5,"доход со следующего цикла","приносит доход")))</f>
        <v/>
      </c>
      <c r="AC116" s="47" t="str">
        <f aca="false">IF($C116="","",IF($F116="","",IF($E116="","укажите продавца; ",IF(OR($F116&lt;INDEX(ИНФА!$N$5:$N$19,MATCH($C116,ИНФА!$I$5:$I$19,0)),$F116&gt;INDEX(ИНФА!$M$5:$M$19,MATCH($C116,ИНФА!$I$5:$I$19,0))),"цена покупки вне коридора! ","")))&amp;IF($U116="","",IF(OR($V116="",$T116=""),"укажите цикл и цену продажи; ",IF(OR($V116&lt;INDEX(ИНФА!$N$5:$N$19,MATCH($C116,ИНФА!$I$5:$I$19,0)),$V116&gt;INDEX(ИНФА!$M$5:$M$19,MATCH($C116,ИНФА!$I$5:$I$19,0))),"цена продажи вне коридора! ","")))&amp;IF(AND($T116="",COUNTIFS($C$5:$C116,$C116,$T$5:$T116,"")&gt;INDEX(ИНФА!$Q$5:$Q$19,MATCH($C116,ИНФА!$I$5:$I$19,0))),"лотов нет! ","")&amp;IF(AND($E116&lt;&gt;"",$F116=""),"укажите цену сделки; ","")&amp;IF(AND(N($H116)&gt;0,OR($AD116="",$AD116="Профессия"),OR($H116&gt;ИНФА!$F$29,$I116&lt;INDEX(ИНФА!$N$5:$N$19,MATCH($C116,ИНФА!$I$5:$I$19,0))+ИНФА!$F$30)),"скидка больше лимита или цена ниже выкупа + 500! ","")&amp;IF($AE116="","",IF(IFERROR(INDEX($B$5:$B$204,MATCH($AE116,$A$5:$A$204,0))=$B116,TRUE()),"бизнес-пара — только со зданием другой компании; ",""))&amp;IF($Q116="","",IF(IFERROR(INDEX(НАУКА!$B$5:$B$44,MATCH($Q116,НАУКА!$A$5:$A$44,0))&lt;&gt;$B116,FALSE()),"патент другой компании — нужна лицензия или соглашение; ","")))</f>
        <v/>
      </c>
      <c r="AD116" s="44"/>
      <c r="AE116" s="44"/>
      <c r="AF116" s="38" t="str">
        <f aca="false">IF($C116="","",IF(AND($W116=1,OR($C116="Дом",$C116="Кафе")),ИНФА!$F$17*(COUNTIFS($B$5:$B116,$B116,$C$5:$C116,$C116,$W$5:$W116,1)&lt;=COUNTIFS($B$5:$B$204,$B116,$C$5:$C$204,"Парк",$W$5:$W$204,1)),0))</f>
        <v/>
      </c>
      <c r="AG116" s="38" t="str">
        <f aca="false">IF($C116="","",IF($W116=1,IF(OR(AND($AE116&lt;&gt;"",IFERROR(INDEX($W$5:$W$204,MATCH($AE116,$A$5:$A$204,0))=1,FALSE()),IFERROR(INDEX($B$5:$B$204,MATCH($AE116,$A$5:$A$204,0))&lt;&gt;$B116,FALSE())),COUNTIFS($AE$5:$AE$204,$A116,$W$5:$W$204,1,$B$5:$B$204,"&lt;&gt;"&amp;$B116)&gt;0),ИНФА!$F$31,0),0))</f>
        <v/>
      </c>
    </row>
    <row r="117" customFormat="false" ht="15" hidden="false" customHeight="false" outlineLevel="0" collapsed="false">
      <c r="A117" s="15" t="n">
        <v>113</v>
      </c>
      <c r="B117" s="44"/>
      <c r="C117" s="44"/>
      <c r="D117" s="44"/>
      <c r="E117" s="44"/>
      <c r="F117" s="43"/>
      <c r="G117" s="38" t="str">
        <f aca="false">IF($C117="","",IF($F117&lt;&gt;"",$F117,INDEX(ИНФА!$M$5:$M$19,MATCH($C117,ИНФА!$I$5:$I$19,0))))</f>
        <v/>
      </c>
      <c r="H117" s="43"/>
      <c r="I117" s="38" t="str">
        <f aca="false">IF($C117="","",G117-N(H117))</f>
        <v/>
      </c>
      <c r="J117" s="37" t="str">
        <f aca="false">IF($C117="","",INDEX(ИНФА!$J$5:$J$19,MATCH($C117,ИНФА!$I$5:$I$19,0)))</f>
        <v/>
      </c>
      <c r="K117" s="37" t="str">
        <f aca="false">IF($C117="","",INDEX(ИНФА!$K$5:$K$19,MATCH($C117,ИНФА!$I$5:$I$19,0)))</f>
        <v/>
      </c>
      <c r="L117" s="38" t="str">
        <f aca="false">IF($C117="","",INDEX(ИНФА!$O$5:$O$19,MATCH($C117,ИНФА!$I$5:$I$19,0)))</f>
        <v/>
      </c>
      <c r="M117" s="38" t="str">
        <f aca="false">IF($C117="","",INDEX(ИНФА!$P$5:$P$19,MATCH($C117,ИНФА!$I$5:$I$19,0)))</f>
        <v/>
      </c>
      <c r="N117" s="44"/>
      <c r="O117" s="48" t="n">
        <f aca="false">IF(OR($C117="",$N117=""),1,IF(AND($J117="Услуги",IFERROR(INDEX($C$5:$C$204,MATCH($N117,$A$5:$A$204,0))=INDEX(ИНФА!$L$5:$L$19,MATCH($C117,ИНФА!$I$5:$I$19,0)),FALSE()),IFERROR(INDEX($W$5:$W$204,MATCH($N117,$A$5:$A$204,0))=1,FALSE()),COUNTIF($N$5:$N117,$N117)&lt;=ИНФА!$F$16),1+ИНФА!$F$15,1))</f>
        <v>1</v>
      </c>
      <c r="P117" s="47" t="str">
        <f aca="false">IF($C117="","",IF($J117&lt;&gt;"Услуги","",IF($N117="","нет поставщика — нужен "&amp;INDEX(ИНФА!$L$5:$L$19,MATCH($C117,ИНФА!$I$5:$I$19,0)),IF($O117&gt;1,"✓ поставка работает (+50%)",IF(IFERROR(INDEX($C$5:$C$204,MATCH($N117,$A$5:$A$204,0))&lt;&gt;INDEX(ИНФА!$L$5:$L$19,MATCH($C117,ИНФА!$I$5:$I$19,0)),TRUE()),"не тот поставщик: нужен "&amp;INDEX(ИНФА!$L$5:$L$19,MATCH($C117,ИНФА!$I$5:$I$19,0)),IF(COUNTIF($N$5:$N117,$N117)&gt;ИНФА!$F$16,"поставщик перегружен","поставщик ещё не работает или продан"))))))</f>
        <v/>
      </c>
      <c r="Q117" s="44"/>
      <c r="R117" s="48" t="str">
        <f aca="false">IF($C117="","",IF($Q117="",1,IFERROR(INDEX(НАУКА!$K$5:$K$44,MATCH($Q117,НАУКА!$A$5:$A$44,0)),1)))</f>
        <v/>
      </c>
      <c r="S117" s="37" t="str">
        <f aca="false">IF($Q117="","",IFERROR(INDEX(НАУКА!$G$5:$G$44,MATCH($Q117,НАУКА!$A$5:$A$44,0)),""))</f>
        <v/>
      </c>
      <c r="T117" s="44"/>
      <c r="U117" s="44"/>
      <c r="V117" s="43"/>
      <c r="W117" s="37" t="n">
        <f aca="false">IF(OR($C117="",$D117=""),0,IF(AND($D117&lt;ИНФА!$F$5,OR($T117="",$T117&gt;=ИНФА!$F$5)),1,0))</f>
        <v>0</v>
      </c>
      <c r="X117" s="46" t="str">
        <f aca="false">IF($C117="","",INDEX(СОБЫТИЯ!$B$5:$K$8,MATCH($K117,СОБЫТИЯ!$A$5:$A$8,0),ИНФА!$F$5))</f>
        <v/>
      </c>
      <c r="Y117" s="42" t="str">
        <f aca="false">IF($C117="","",IF($W117=1,ROUND($L117*$O117*IF(AND($Q117&lt;&gt;"",$S117&lt;&gt;""),IF($S117&lt;ИНФА!$F$5,$R117,1),1)*$X117,0)-$M117+N($AF117)+N($AG117),0))</f>
        <v/>
      </c>
      <c r="Z117" s="38" t="str">
        <f aca="false">IF($C117="","",IF($T117="",INDEX(ИНФА!$M$5:$M$19,MATCH($C117,ИНФА!$I$5:$I$19,0)),0))</f>
        <v/>
      </c>
      <c r="AA117" s="38" t="str">
        <f aca="false">IF(OR($C117="",$T117=""),"",IF($V117&lt;&gt;"",$V117,INDEX(ИНФА!$N$5:$N$19,MATCH($C117,ИНФА!$I$5:$I$19,0))))</f>
        <v/>
      </c>
      <c r="AB117" s="37" t="str">
        <f aca="false">IF($C117="","",IF($T117&lt;&gt;"",IF($U117&lt;&gt;"","продано компании "&amp;$U117&amp;" в цикле "&amp;$T117,"продано Инфраструктуре в цикле "&amp;$T117),IF($D117&gt;=ИНФА!$F$5,"доход со следующего цикла","приносит доход")))</f>
        <v/>
      </c>
      <c r="AC117" s="47" t="str">
        <f aca="false">IF($C117="","",IF($F117="","",IF($E117="","укажите продавца; ",IF(OR($F117&lt;INDEX(ИНФА!$N$5:$N$19,MATCH($C117,ИНФА!$I$5:$I$19,0)),$F117&gt;INDEX(ИНФА!$M$5:$M$19,MATCH($C117,ИНФА!$I$5:$I$19,0))),"цена покупки вне коридора! ","")))&amp;IF($U117="","",IF(OR($V117="",$T117=""),"укажите цикл и цену продажи; ",IF(OR($V117&lt;INDEX(ИНФА!$N$5:$N$19,MATCH($C117,ИНФА!$I$5:$I$19,0)),$V117&gt;INDEX(ИНФА!$M$5:$M$19,MATCH($C117,ИНФА!$I$5:$I$19,0))),"цена продажи вне коридора! ","")))&amp;IF(AND($T117="",COUNTIFS($C$5:$C117,$C117,$T$5:$T117,"")&gt;INDEX(ИНФА!$Q$5:$Q$19,MATCH($C117,ИНФА!$I$5:$I$19,0))),"лотов нет! ","")&amp;IF(AND($E117&lt;&gt;"",$F117=""),"укажите цену сделки; ","")&amp;IF(AND(N($H117)&gt;0,OR($AD117="",$AD117="Профессия"),OR($H117&gt;ИНФА!$F$29,$I117&lt;INDEX(ИНФА!$N$5:$N$19,MATCH($C117,ИНФА!$I$5:$I$19,0))+ИНФА!$F$30)),"скидка больше лимита или цена ниже выкупа + 500! ","")&amp;IF($AE117="","",IF(IFERROR(INDEX($B$5:$B$204,MATCH($AE117,$A$5:$A$204,0))=$B117,TRUE()),"бизнес-пара — только со зданием другой компании; ",""))&amp;IF($Q117="","",IF(IFERROR(INDEX(НАУКА!$B$5:$B$44,MATCH($Q117,НАУКА!$A$5:$A$44,0))&lt;&gt;$B117,FALSE()),"патент другой компании — нужна лицензия или соглашение; ","")))</f>
        <v/>
      </c>
      <c r="AD117" s="44"/>
      <c r="AE117" s="44"/>
      <c r="AF117" s="38" t="str">
        <f aca="false">IF($C117="","",IF(AND($W117=1,OR($C117="Дом",$C117="Кафе")),ИНФА!$F$17*(COUNTIFS($B$5:$B117,$B117,$C$5:$C117,$C117,$W$5:$W117,1)&lt;=COUNTIFS($B$5:$B$204,$B117,$C$5:$C$204,"Парк",$W$5:$W$204,1)),0))</f>
        <v/>
      </c>
      <c r="AG117" s="38" t="str">
        <f aca="false">IF($C117="","",IF($W117=1,IF(OR(AND($AE117&lt;&gt;"",IFERROR(INDEX($W$5:$W$204,MATCH($AE117,$A$5:$A$204,0))=1,FALSE()),IFERROR(INDEX($B$5:$B$204,MATCH($AE117,$A$5:$A$204,0))&lt;&gt;$B117,FALSE())),COUNTIFS($AE$5:$AE$204,$A117,$W$5:$W$204,1,$B$5:$B$204,"&lt;&gt;"&amp;$B117)&gt;0),ИНФА!$F$31,0),0))</f>
        <v/>
      </c>
    </row>
    <row r="118" customFormat="false" ht="15" hidden="false" customHeight="false" outlineLevel="0" collapsed="false">
      <c r="A118" s="15" t="n">
        <v>114</v>
      </c>
      <c r="B118" s="44"/>
      <c r="C118" s="44"/>
      <c r="D118" s="44"/>
      <c r="E118" s="44"/>
      <c r="F118" s="43"/>
      <c r="G118" s="38" t="str">
        <f aca="false">IF($C118="","",IF($F118&lt;&gt;"",$F118,INDEX(ИНФА!$M$5:$M$19,MATCH($C118,ИНФА!$I$5:$I$19,0))))</f>
        <v/>
      </c>
      <c r="H118" s="43"/>
      <c r="I118" s="38" t="str">
        <f aca="false">IF($C118="","",G118-N(H118))</f>
        <v/>
      </c>
      <c r="J118" s="37" t="str">
        <f aca="false">IF($C118="","",INDEX(ИНФА!$J$5:$J$19,MATCH($C118,ИНФА!$I$5:$I$19,0)))</f>
        <v/>
      </c>
      <c r="K118" s="37" t="str">
        <f aca="false">IF($C118="","",INDEX(ИНФА!$K$5:$K$19,MATCH($C118,ИНФА!$I$5:$I$19,0)))</f>
        <v/>
      </c>
      <c r="L118" s="38" t="str">
        <f aca="false">IF($C118="","",INDEX(ИНФА!$O$5:$O$19,MATCH($C118,ИНФА!$I$5:$I$19,0)))</f>
        <v/>
      </c>
      <c r="M118" s="38" t="str">
        <f aca="false">IF($C118="","",INDEX(ИНФА!$P$5:$P$19,MATCH($C118,ИНФА!$I$5:$I$19,0)))</f>
        <v/>
      </c>
      <c r="N118" s="44"/>
      <c r="O118" s="48" t="n">
        <f aca="false">IF(OR($C118="",$N118=""),1,IF(AND($J118="Услуги",IFERROR(INDEX($C$5:$C$204,MATCH($N118,$A$5:$A$204,0))=INDEX(ИНФА!$L$5:$L$19,MATCH($C118,ИНФА!$I$5:$I$19,0)),FALSE()),IFERROR(INDEX($W$5:$W$204,MATCH($N118,$A$5:$A$204,0))=1,FALSE()),COUNTIF($N$5:$N118,$N118)&lt;=ИНФА!$F$16),1+ИНФА!$F$15,1))</f>
        <v>1</v>
      </c>
      <c r="P118" s="47" t="str">
        <f aca="false">IF($C118="","",IF($J118&lt;&gt;"Услуги","",IF($N118="","нет поставщика — нужен "&amp;INDEX(ИНФА!$L$5:$L$19,MATCH($C118,ИНФА!$I$5:$I$19,0)),IF($O118&gt;1,"✓ поставка работает (+50%)",IF(IFERROR(INDEX($C$5:$C$204,MATCH($N118,$A$5:$A$204,0))&lt;&gt;INDEX(ИНФА!$L$5:$L$19,MATCH($C118,ИНФА!$I$5:$I$19,0)),TRUE()),"не тот поставщик: нужен "&amp;INDEX(ИНФА!$L$5:$L$19,MATCH($C118,ИНФА!$I$5:$I$19,0)),IF(COUNTIF($N$5:$N118,$N118)&gt;ИНФА!$F$16,"поставщик перегружен","поставщик ещё не работает или продан"))))))</f>
        <v/>
      </c>
      <c r="Q118" s="44"/>
      <c r="R118" s="48" t="str">
        <f aca="false">IF($C118="","",IF($Q118="",1,IFERROR(INDEX(НАУКА!$K$5:$K$44,MATCH($Q118,НАУКА!$A$5:$A$44,0)),1)))</f>
        <v/>
      </c>
      <c r="S118" s="37" t="str">
        <f aca="false">IF($Q118="","",IFERROR(INDEX(НАУКА!$G$5:$G$44,MATCH($Q118,НАУКА!$A$5:$A$44,0)),""))</f>
        <v/>
      </c>
      <c r="T118" s="44"/>
      <c r="U118" s="44"/>
      <c r="V118" s="43"/>
      <c r="W118" s="37" t="n">
        <f aca="false">IF(OR($C118="",$D118=""),0,IF(AND($D118&lt;ИНФА!$F$5,OR($T118="",$T118&gt;=ИНФА!$F$5)),1,0))</f>
        <v>0</v>
      </c>
      <c r="X118" s="46" t="str">
        <f aca="false">IF($C118="","",INDEX(СОБЫТИЯ!$B$5:$K$8,MATCH($K118,СОБЫТИЯ!$A$5:$A$8,0),ИНФА!$F$5))</f>
        <v/>
      </c>
      <c r="Y118" s="42" t="str">
        <f aca="false">IF($C118="","",IF($W118=1,ROUND($L118*$O118*IF(AND($Q118&lt;&gt;"",$S118&lt;&gt;""),IF($S118&lt;ИНФА!$F$5,$R118,1),1)*$X118,0)-$M118+N($AF118)+N($AG118),0))</f>
        <v/>
      </c>
      <c r="Z118" s="38" t="str">
        <f aca="false">IF($C118="","",IF($T118="",INDEX(ИНФА!$M$5:$M$19,MATCH($C118,ИНФА!$I$5:$I$19,0)),0))</f>
        <v/>
      </c>
      <c r="AA118" s="38" t="str">
        <f aca="false">IF(OR($C118="",$T118=""),"",IF($V118&lt;&gt;"",$V118,INDEX(ИНФА!$N$5:$N$19,MATCH($C118,ИНФА!$I$5:$I$19,0))))</f>
        <v/>
      </c>
      <c r="AB118" s="37" t="str">
        <f aca="false">IF($C118="","",IF($T118&lt;&gt;"",IF($U118&lt;&gt;"","продано компании "&amp;$U118&amp;" в цикле "&amp;$T118,"продано Инфраструктуре в цикле "&amp;$T118),IF($D118&gt;=ИНФА!$F$5,"доход со следующего цикла","приносит доход")))</f>
        <v/>
      </c>
      <c r="AC118" s="47" t="str">
        <f aca="false">IF($C118="","",IF($F118="","",IF($E118="","укажите продавца; ",IF(OR($F118&lt;INDEX(ИНФА!$N$5:$N$19,MATCH($C118,ИНФА!$I$5:$I$19,0)),$F118&gt;INDEX(ИНФА!$M$5:$M$19,MATCH($C118,ИНФА!$I$5:$I$19,0))),"цена покупки вне коридора! ","")))&amp;IF($U118="","",IF(OR($V118="",$T118=""),"укажите цикл и цену продажи; ",IF(OR($V118&lt;INDEX(ИНФА!$N$5:$N$19,MATCH($C118,ИНФА!$I$5:$I$19,0)),$V118&gt;INDEX(ИНФА!$M$5:$M$19,MATCH($C118,ИНФА!$I$5:$I$19,0))),"цена продажи вне коридора! ","")))&amp;IF(AND($T118="",COUNTIFS($C$5:$C118,$C118,$T$5:$T118,"")&gt;INDEX(ИНФА!$Q$5:$Q$19,MATCH($C118,ИНФА!$I$5:$I$19,0))),"лотов нет! ","")&amp;IF(AND($E118&lt;&gt;"",$F118=""),"укажите цену сделки; ","")&amp;IF(AND(N($H118)&gt;0,OR($AD118="",$AD118="Профессия"),OR($H118&gt;ИНФА!$F$29,$I118&lt;INDEX(ИНФА!$N$5:$N$19,MATCH($C118,ИНФА!$I$5:$I$19,0))+ИНФА!$F$30)),"скидка больше лимита или цена ниже выкупа + 500! ","")&amp;IF($AE118="","",IF(IFERROR(INDEX($B$5:$B$204,MATCH($AE118,$A$5:$A$204,0))=$B118,TRUE()),"бизнес-пара — только со зданием другой компании; ",""))&amp;IF($Q118="","",IF(IFERROR(INDEX(НАУКА!$B$5:$B$44,MATCH($Q118,НАУКА!$A$5:$A$44,0))&lt;&gt;$B118,FALSE()),"патент другой компании — нужна лицензия или соглашение; ","")))</f>
        <v/>
      </c>
      <c r="AD118" s="44"/>
      <c r="AE118" s="44"/>
      <c r="AF118" s="38" t="str">
        <f aca="false">IF($C118="","",IF(AND($W118=1,OR($C118="Дом",$C118="Кафе")),ИНФА!$F$17*(COUNTIFS($B$5:$B118,$B118,$C$5:$C118,$C118,$W$5:$W118,1)&lt;=COUNTIFS($B$5:$B$204,$B118,$C$5:$C$204,"Парк",$W$5:$W$204,1)),0))</f>
        <v/>
      </c>
      <c r="AG118" s="38" t="str">
        <f aca="false">IF($C118="","",IF($W118=1,IF(OR(AND($AE118&lt;&gt;"",IFERROR(INDEX($W$5:$W$204,MATCH($AE118,$A$5:$A$204,0))=1,FALSE()),IFERROR(INDEX($B$5:$B$204,MATCH($AE118,$A$5:$A$204,0))&lt;&gt;$B118,FALSE())),COUNTIFS($AE$5:$AE$204,$A118,$W$5:$W$204,1,$B$5:$B$204,"&lt;&gt;"&amp;$B118)&gt;0),ИНФА!$F$31,0),0))</f>
        <v/>
      </c>
    </row>
    <row r="119" customFormat="false" ht="15" hidden="false" customHeight="false" outlineLevel="0" collapsed="false">
      <c r="A119" s="15" t="n">
        <v>115</v>
      </c>
      <c r="B119" s="44"/>
      <c r="C119" s="44"/>
      <c r="D119" s="44"/>
      <c r="E119" s="44"/>
      <c r="F119" s="43"/>
      <c r="G119" s="38" t="str">
        <f aca="false">IF($C119="","",IF($F119&lt;&gt;"",$F119,INDEX(ИНФА!$M$5:$M$19,MATCH($C119,ИНФА!$I$5:$I$19,0))))</f>
        <v/>
      </c>
      <c r="H119" s="43"/>
      <c r="I119" s="38" t="str">
        <f aca="false">IF($C119="","",G119-N(H119))</f>
        <v/>
      </c>
      <c r="J119" s="37" t="str">
        <f aca="false">IF($C119="","",INDEX(ИНФА!$J$5:$J$19,MATCH($C119,ИНФА!$I$5:$I$19,0)))</f>
        <v/>
      </c>
      <c r="K119" s="37" t="str">
        <f aca="false">IF($C119="","",INDEX(ИНФА!$K$5:$K$19,MATCH($C119,ИНФА!$I$5:$I$19,0)))</f>
        <v/>
      </c>
      <c r="L119" s="38" t="str">
        <f aca="false">IF($C119="","",INDEX(ИНФА!$O$5:$O$19,MATCH($C119,ИНФА!$I$5:$I$19,0)))</f>
        <v/>
      </c>
      <c r="M119" s="38" t="str">
        <f aca="false">IF($C119="","",INDEX(ИНФА!$P$5:$P$19,MATCH($C119,ИНФА!$I$5:$I$19,0)))</f>
        <v/>
      </c>
      <c r="N119" s="44"/>
      <c r="O119" s="48" t="n">
        <f aca="false">IF(OR($C119="",$N119=""),1,IF(AND($J119="Услуги",IFERROR(INDEX($C$5:$C$204,MATCH($N119,$A$5:$A$204,0))=INDEX(ИНФА!$L$5:$L$19,MATCH($C119,ИНФА!$I$5:$I$19,0)),FALSE()),IFERROR(INDEX($W$5:$W$204,MATCH($N119,$A$5:$A$204,0))=1,FALSE()),COUNTIF($N$5:$N119,$N119)&lt;=ИНФА!$F$16),1+ИНФА!$F$15,1))</f>
        <v>1</v>
      </c>
      <c r="P119" s="47" t="str">
        <f aca="false">IF($C119="","",IF($J119&lt;&gt;"Услуги","",IF($N119="","нет поставщика — нужен "&amp;INDEX(ИНФА!$L$5:$L$19,MATCH($C119,ИНФА!$I$5:$I$19,0)),IF($O119&gt;1,"✓ поставка работает (+50%)",IF(IFERROR(INDEX($C$5:$C$204,MATCH($N119,$A$5:$A$204,0))&lt;&gt;INDEX(ИНФА!$L$5:$L$19,MATCH($C119,ИНФА!$I$5:$I$19,0)),TRUE()),"не тот поставщик: нужен "&amp;INDEX(ИНФА!$L$5:$L$19,MATCH($C119,ИНФА!$I$5:$I$19,0)),IF(COUNTIF($N$5:$N119,$N119)&gt;ИНФА!$F$16,"поставщик перегружен","поставщик ещё не работает или продан"))))))</f>
        <v/>
      </c>
      <c r="Q119" s="44"/>
      <c r="R119" s="48" t="str">
        <f aca="false">IF($C119="","",IF($Q119="",1,IFERROR(INDEX(НАУКА!$K$5:$K$44,MATCH($Q119,НАУКА!$A$5:$A$44,0)),1)))</f>
        <v/>
      </c>
      <c r="S119" s="37" t="str">
        <f aca="false">IF($Q119="","",IFERROR(INDEX(НАУКА!$G$5:$G$44,MATCH($Q119,НАУКА!$A$5:$A$44,0)),""))</f>
        <v/>
      </c>
      <c r="T119" s="44"/>
      <c r="U119" s="44"/>
      <c r="V119" s="43"/>
      <c r="W119" s="37" t="n">
        <f aca="false">IF(OR($C119="",$D119=""),0,IF(AND($D119&lt;ИНФА!$F$5,OR($T119="",$T119&gt;=ИНФА!$F$5)),1,0))</f>
        <v>0</v>
      </c>
      <c r="X119" s="46" t="str">
        <f aca="false">IF($C119="","",INDEX(СОБЫТИЯ!$B$5:$K$8,MATCH($K119,СОБЫТИЯ!$A$5:$A$8,0),ИНФА!$F$5))</f>
        <v/>
      </c>
      <c r="Y119" s="42" t="str">
        <f aca="false">IF($C119="","",IF($W119=1,ROUND($L119*$O119*IF(AND($Q119&lt;&gt;"",$S119&lt;&gt;""),IF($S119&lt;ИНФА!$F$5,$R119,1),1)*$X119,0)-$M119+N($AF119)+N($AG119),0))</f>
        <v/>
      </c>
      <c r="Z119" s="38" t="str">
        <f aca="false">IF($C119="","",IF($T119="",INDEX(ИНФА!$M$5:$M$19,MATCH($C119,ИНФА!$I$5:$I$19,0)),0))</f>
        <v/>
      </c>
      <c r="AA119" s="38" t="str">
        <f aca="false">IF(OR($C119="",$T119=""),"",IF($V119&lt;&gt;"",$V119,INDEX(ИНФА!$N$5:$N$19,MATCH($C119,ИНФА!$I$5:$I$19,0))))</f>
        <v/>
      </c>
      <c r="AB119" s="37" t="str">
        <f aca="false">IF($C119="","",IF($T119&lt;&gt;"",IF($U119&lt;&gt;"","продано компании "&amp;$U119&amp;" в цикле "&amp;$T119,"продано Инфраструктуре в цикле "&amp;$T119),IF($D119&gt;=ИНФА!$F$5,"доход со следующего цикла","приносит доход")))</f>
        <v/>
      </c>
      <c r="AC119" s="47" t="str">
        <f aca="false">IF($C119="","",IF($F119="","",IF($E119="","укажите продавца; ",IF(OR($F119&lt;INDEX(ИНФА!$N$5:$N$19,MATCH($C119,ИНФА!$I$5:$I$19,0)),$F119&gt;INDEX(ИНФА!$M$5:$M$19,MATCH($C119,ИНФА!$I$5:$I$19,0))),"цена покупки вне коридора! ","")))&amp;IF($U119="","",IF(OR($V119="",$T119=""),"укажите цикл и цену продажи; ",IF(OR($V119&lt;INDEX(ИНФА!$N$5:$N$19,MATCH($C119,ИНФА!$I$5:$I$19,0)),$V119&gt;INDEX(ИНФА!$M$5:$M$19,MATCH($C119,ИНФА!$I$5:$I$19,0))),"цена продажи вне коридора! ","")))&amp;IF(AND($T119="",COUNTIFS($C$5:$C119,$C119,$T$5:$T119,"")&gt;INDEX(ИНФА!$Q$5:$Q$19,MATCH($C119,ИНФА!$I$5:$I$19,0))),"лотов нет! ","")&amp;IF(AND($E119&lt;&gt;"",$F119=""),"укажите цену сделки; ","")&amp;IF(AND(N($H119)&gt;0,OR($AD119="",$AD119="Профессия"),OR($H119&gt;ИНФА!$F$29,$I119&lt;INDEX(ИНФА!$N$5:$N$19,MATCH($C119,ИНФА!$I$5:$I$19,0))+ИНФА!$F$30)),"скидка больше лимита или цена ниже выкупа + 500! ","")&amp;IF($AE119="","",IF(IFERROR(INDEX($B$5:$B$204,MATCH($AE119,$A$5:$A$204,0))=$B119,TRUE()),"бизнес-пара — только со зданием другой компании; ",""))&amp;IF($Q119="","",IF(IFERROR(INDEX(НАУКА!$B$5:$B$44,MATCH($Q119,НАУКА!$A$5:$A$44,0))&lt;&gt;$B119,FALSE()),"патент другой компании — нужна лицензия или соглашение; ","")))</f>
        <v/>
      </c>
      <c r="AD119" s="44"/>
      <c r="AE119" s="44"/>
      <c r="AF119" s="38" t="str">
        <f aca="false">IF($C119="","",IF(AND($W119=1,OR($C119="Дом",$C119="Кафе")),ИНФА!$F$17*(COUNTIFS($B$5:$B119,$B119,$C$5:$C119,$C119,$W$5:$W119,1)&lt;=COUNTIFS($B$5:$B$204,$B119,$C$5:$C$204,"Парк",$W$5:$W$204,1)),0))</f>
        <v/>
      </c>
      <c r="AG119" s="38" t="str">
        <f aca="false">IF($C119="","",IF($W119=1,IF(OR(AND($AE119&lt;&gt;"",IFERROR(INDEX($W$5:$W$204,MATCH($AE119,$A$5:$A$204,0))=1,FALSE()),IFERROR(INDEX($B$5:$B$204,MATCH($AE119,$A$5:$A$204,0))&lt;&gt;$B119,FALSE())),COUNTIFS($AE$5:$AE$204,$A119,$W$5:$W$204,1,$B$5:$B$204,"&lt;&gt;"&amp;$B119)&gt;0),ИНФА!$F$31,0),0))</f>
        <v/>
      </c>
    </row>
    <row r="120" customFormat="false" ht="15" hidden="false" customHeight="false" outlineLevel="0" collapsed="false">
      <c r="A120" s="15" t="n">
        <v>116</v>
      </c>
      <c r="B120" s="44"/>
      <c r="C120" s="44"/>
      <c r="D120" s="44"/>
      <c r="E120" s="44"/>
      <c r="F120" s="43"/>
      <c r="G120" s="38" t="str">
        <f aca="false">IF($C120="","",IF($F120&lt;&gt;"",$F120,INDEX(ИНФА!$M$5:$M$19,MATCH($C120,ИНФА!$I$5:$I$19,0))))</f>
        <v/>
      </c>
      <c r="H120" s="43"/>
      <c r="I120" s="38" t="str">
        <f aca="false">IF($C120="","",G120-N(H120))</f>
        <v/>
      </c>
      <c r="J120" s="37" t="str">
        <f aca="false">IF($C120="","",INDEX(ИНФА!$J$5:$J$19,MATCH($C120,ИНФА!$I$5:$I$19,0)))</f>
        <v/>
      </c>
      <c r="K120" s="37" t="str">
        <f aca="false">IF($C120="","",INDEX(ИНФА!$K$5:$K$19,MATCH($C120,ИНФА!$I$5:$I$19,0)))</f>
        <v/>
      </c>
      <c r="L120" s="38" t="str">
        <f aca="false">IF($C120="","",INDEX(ИНФА!$O$5:$O$19,MATCH($C120,ИНФА!$I$5:$I$19,0)))</f>
        <v/>
      </c>
      <c r="M120" s="38" t="str">
        <f aca="false">IF($C120="","",INDEX(ИНФА!$P$5:$P$19,MATCH($C120,ИНФА!$I$5:$I$19,0)))</f>
        <v/>
      </c>
      <c r="N120" s="44"/>
      <c r="O120" s="48" t="n">
        <f aca="false">IF(OR($C120="",$N120=""),1,IF(AND($J120="Услуги",IFERROR(INDEX($C$5:$C$204,MATCH($N120,$A$5:$A$204,0))=INDEX(ИНФА!$L$5:$L$19,MATCH($C120,ИНФА!$I$5:$I$19,0)),FALSE()),IFERROR(INDEX($W$5:$W$204,MATCH($N120,$A$5:$A$204,0))=1,FALSE()),COUNTIF($N$5:$N120,$N120)&lt;=ИНФА!$F$16),1+ИНФА!$F$15,1))</f>
        <v>1</v>
      </c>
      <c r="P120" s="47" t="str">
        <f aca="false">IF($C120="","",IF($J120&lt;&gt;"Услуги","",IF($N120="","нет поставщика — нужен "&amp;INDEX(ИНФА!$L$5:$L$19,MATCH($C120,ИНФА!$I$5:$I$19,0)),IF($O120&gt;1,"✓ поставка работает (+50%)",IF(IFERROR(INDEX($C$5:$C$204,MATCH($N120,$A$5:$A$204,0))&lt;&gt;INDEX(ИНФА!$L$5:$L$19,MATCH($C120,ИНФА!$I$5:$I$19,0)),TRUE()),"не тот поставщик: нужен "&amp;INDEX(ИНФА!$L$5:$L$19,MATCH($C120,ИНФА!$I$5:$I$19,0)),IF(COUNTIF($N$5:$N120,$N120)&gt;ИНФА!$F$16,"поставщик перегружен","поставщик ещё не работает или продан"))))))</f>
        <v/>
      </c>
      <c r="Q120" s="44"/>
      <c r="R120" s="48" t="str">
        <f aca="false">IF($C120="","",IF($Q120="",1,IFERROR(INDEX(НАУКА!$K$5:$K$44,MATCH($Q120,НАУКА!$A$5:$A$44,0)),1)))</f>
        <v/>
      </c>
      <c r="S120" s="37" t="str">
        <f aca="false">IF($Q120="","",IFERROR(INDEX(НАУКА!$G$5:$G$44,MATCH($Q120,НАУКА!$A$5:$A$44,0)),""))</f>
        <v/>
      </c>
      <c r="T120" s="44"/>
      <c r="U120" s="44"/>
      <c r="V120" s="43"/>
      <c r="W120" s="37" t="n">
        <f aca="false">IF(OR($C120="",$D120=""),0,IF(AND($D120&lt;ИНФА!$F$5,OR($T120="",$T120&gt;=ИНФА!$F$5)),1,0))</f>
        <v>0</v>
      </c>
      <c r="X120" s="46" t="str">
        <f aca="false">IF($C120="","",INDEX(СОБЫТИЯ!$B$5:$K$8,MATCH($K120,СОБЫТИЯ!$A$5:$A$8,0),ИНФА!$F$5))</f>
        <v/>
      </c>
      <c r="Y120" s="42" t="str">
        <f aca="false">IF($C120="","",IF($W120=1,ROUND($L120*$O120*IF(AND($Q120&lt;&gt;"",$S120&lt;&gt;""),IF($S120&lt;ИНФА!$F$5,$R120,1),1)*$X120,0)-$M120+N($AF120)+N($AG120),0))</f>
        <v/>
      </c>
      <c r="Z120" s="38" t="str">
        <f aca="false">IF($C120="","",IF($T120="",INDEX(ИНФА!$M$5:$M$19,MATCH($C120,ИНФА!$I$5:$I$19,0)),0))</f>
        <v/>
      </c>
      <c r="AA120" s="38" t="str">
        <f aca="false">IF(OR($C120="",$T120=""),"",IF($V120&lt;&gt;"",$V120,INDEX(ИНФА!$N$5:$N$19,MATCH($C120,ИНФА!$I$5:$I$19,0))))</f>
        <v/>
      </c>
      <c r="AB120" s="37" t="str">
        <f aca="false">IF($C120="","",IF($T120&lt;&gt;"",IF($U120&lt;&gt;"","продано компании "&amp;$U120&amp;" в цикле "&amp;$T120,"продано Инфраструктуре в цикле "&amp;$T120),IF($D120&gt;=ИНФА!$F$5,"доход со следующего цикла","приносит доход")))</f>
        <v/>
      </c>
      <c r="AC120" s="47" t="str">
        <f aca="false">IF($C120="","",IF($F120="","",IF($E120="","укажите продавца; ",IF(OR($F120&lt;INDEX(ИНФА!$N$5:$N$19,MATCH($C120,ИНФА!$I$5:$I$19,0)),$F120&gt;INDEX(ИНФА!$M$5:$M$19,MATCH($C120,ИНФА!$I$5:$I$19,0))),"цена покупки вне коридора! ","")))&amp;IF($U120="","",IF(OR($V120="",$T120=""),"укажите цикл и цену продажи; ",IF(OR($V120&lt;INDEX(ИНФА!$N$5:$N$19,MATCH($C120,ИНФА!$I$5:$I$19,0)),$V120&gt;INDEX(ИНФА!$M$5:$M$19,MATCH($C120,ИНФА!$I$5:$I$19,0))),"цена продажи вне коридора! ","")))&amp;IF(AND($T120="",COUNTIFS($C$5:$C120,$C120,$T$5:$T120,"")&gt;INDEX(ИНФА!$Q$5:$Q$19,MATCH($C120,ИНФА!$I$5:$I$19,0))),"лотов нет! ","")&amp;IF(AND($E120&lt;&gt;"",$F120=""),"укажите цену сделки; ","")&amp;IF(AND(N($H120)&gt;0,OR($AD120="",$AD120="Профессия"),OR($H120&gt;ИНФА!$F$29,$I120&lt;INDEX(ИНФА!$N$5:$N$19,MATCH($C120,ИНФА!$I$5:$I$19,0))+ИНФА!$F$30)),"скидка больше лимита или цена ниже выкупа + 500! ","")&amp;IF($AE120="","",IF(IFERROR(INDEX($B$5:$B$204,MATCH($AE120,$A$5:$A$204,0))=$B120,TRUE()),"бизнес-пара — только со зданием другой компании; ",""))&amp;IF($Q120="","",IF(IFERROR(INDEX(НАУКА!$B$5:$B$44,MATCH($Q120,НАУКА!$A$5:$A$44,0))&lt;&gt;$B120,FALSE()),"патент другой компании — нужна лицензия или соглашение; ","")))</f>
        <v/>
      </c>
      <c r="AD120" s="44"/>
      <c r="AE120" s="44"/>
      <c r="AF120" s="38" t="str">
        <f aca="false">IF($C120="","",IF(AND($W120=1,OR($C120="Дом",$C120="Кафе")),ИНФА!$F$17*(COUNTIFS($B$5:$B120,$B120,$C$5:$C120,$C120,$W$5:$W120,1)&lt;=COUNTIFS($B$5:$B$204,$B120,$C$5:$C$204,"Парк",$W$5:$W$204,1)),0))</f>
        <v/>
      </c>
      <c r="AG120" s="38" t="str">
        <f aca="false">IF($C120="","",IF($W120=1,IF(OR(AND($AE120&lt;&gt;"",IFERROR(INDEX($W$5:$W$204,MATCH($AE120,$A$5:$A$204,0))=1,FALSE()),IFERROR(INDEX($B$5:$B$204,MATCH($AE120,$A$5:$A$204,0))&lt;&gt;$B120,FALSE())),COUNTIFS($AE$5:$AE$204,$A120,$W$5:$W$204,1,$B$5:$B$204,"&lt;&gt;"&amp;$B120)&gt;0),ИНФА!$F$31,0),0))</f>
        <v/>
      </c>
    </row>
    <row r="121" customFormat="false" ht="15" hidden="false" customHeight="false" outlineLevel="0" collapsed="false">
      <c r="A121" s="15" t="n">
        <v>117</v>
      </c>
      <c r="B121" s="44"/>
      <c r="C121" s="44"/>
      <c r="D121" s="44"/>
      <c r="E121" s="44"/>
      <c r="F121" s="43"/>
      <c r="G121" s="38" t="str">
        <f aca="false">IF($C121="","",IF($F121&lt;&gt;"",$F121,INDEX(ИНФА!$M$5:$M$19,MATCH($C121,ИНФА!$I$5:$I$19,0))))</f>
        <v/>
      </c>
      <c r="H121" s="43"/>
      <c r="I121" s="38" t="str">
        <f aca="false">IF($C121="","",G121-N(H121))</f>
        <v/>
      </c>
      <c r="J121" s="37" t="str">
        <f aca="false">IF($C121="","",INDEX(ИНФА!$J$5:$J$19,MATCH($C121,ИНФА!$I$5:$I$19,0)))</f>
        <v/>
      </c>
      <c r="K121" s="37" t="str">
        <f aca="false">IF($C121="","",INDEX(ИНФА!$K$5:$K$19,MATCH($C121,ИНФА!$I$5:$I$19,0)))</f>
        <v/>
      </c>
      <c r="L121" s="38" t="str">
        <f aca="false">IF($C121="","",INDEX(ИНФА!$O$5:$O$19,MATCH($C121,ИНФА!$I$5:$I$19,0)))</f>
        <v/>
      </c>
      <c r="M121" s="38" t="str">
        <f aca="false">IF($C121="","",INDEX(ИНФА!$P$5:$P$19,MATCH($C121,ИНФА!$I$5:$I$19,0)))</f>
        <v/>
      </c>
      <c r="N121" s="44"/>
      <c r="O121" s="48" t="n">
        <f aca="false">IF(OR($C121="",$N121=""),1,IF(AND($J121="Услуги",IFERROR(INDEX($C$5:$C$204,MATCH($N121,$A$5:$A$204,0))=INDEX(ИНФА!$L$5:$L$19,MATCH($C121,ИНФА!$I$5:$I$19,0)),FALSE()),IFERROR(INDEX($W$5:$W$204,MATCH($N121,$A$5:$A$204,0))=1,FALSE()),COUNTIF($N$5:$N121,$N121)&lt;=ИНФА!$F$16),1+ИНФА!$F$15,1))</f>
        <v>1</v>
      </c>
      <c r="P121" s="47" t="str">
        <f aca="false">IF($C121="","",IF($J121&lt;&gt;"Услуги","",IF($N121="","нет поставщика — нужен "&amp;INDEX(ИНФА!$L$5:$L$19,MATCH($C121,ИНФА!$I$5:$I$19,0)),IF($O121&gt;1,"✓ поставка работает (+50%)",IF(IFERROR(INDEX($C$5:$C$204,MATCH($N121,$A$5:$A$204,0))&lt;&gt;INDEX(ИНФА!$L$5:$L$19,MATCH($C121,ИНФА!$I$5:$I$19,0)),TRUE()),"не тот поставщик: нужен "&amp;INDEX(ИНФА!$L$5:$L$19,MATCH($C121,ИНФА!$I$5:$I$19,0)),IF(COUNTIF($N$5:$N121,$N121)&gt;ИНФА!$F$16,"поставщик перегружен","поставщик ещё не работает или продан"))))))</f>
        <v/>
      </c>
      <c r="Q121" s="44"/>
      <c r="R121" s="48" t="str">
        <f aca="false">IF($C121="","",IF($Q121="",1,IFERROR(INDEX(НАУКА!$K$5:$K$44,MATCH($Q121,НАУКА!$A$5:$A$44,0)),1)))</f>
        <v/>
      </c>
      <c r="S121" s="37" t="str">
        <f aca="false">IF($Q121="","",IFERROR(INDEX(НАУКА!$G$5:$G$44,MATCH($Q121,НАУКА!$A$5:$A$44,0)),""))</f>
        <v/>
      </c>
      <c r="T121" s="44"/>
      <c r="U121" s="44"/>
      <c r="V121" s="43"/>
      <c r="W121" s="37" t="n">
        <f aca="false">IF(OR($C121="",$D121=""),0,IF(AND($D121&lt;ИНФА!$F$5,OR($T121="",$T121&gt;=ИНФА!$F$5)),1,0))</f>
        <v>0</v>
      </c>
      <c r="X121" s="46" t="str">
        <f aca="false">IF($C121="","",INDEX(СОБЫТИЯ!$B$5:$K$8,MATCH($K121,СОБЫТИЯ!$A$5:$A$8,0),ИНФА!$F$5))</f>
        <v/>
      </c>
      <c r="Y121" s="42" t="str">
        <f aca="false">IF($C121="","",IF($W121=1,ROUND($L121*$O121*IF(AND($Q121&lt;&gt;"",$S121&lt;&gt;""),IF($S121&lt;ИНФА!$F$5,$R121,1),1)*$X121,0)-$M121+N($AF121)+N($AG121),0))</f>
        <v/>
      </c>
      <c r="Z121" s="38" t="str">
        <f aca="false">IF($C121="","",IF($T121="",INDEX(ИНФА!$M$5:$M$19,MATCH($C121,ИНФА!$I$5:$I$19,0)),0))</f>
        <v/>
      </c>
      <c r="AA121" s="38" t="str">
        <f aca="false">IF(OR($C121="",$T121=""),"",IF($V121&lt;&gt;"",$V121,INDEX(ИНФА!$N$5:$N$19,MATCH($C121,ИНФА!$I$5:$I$19,0))))</f>
        <v/>
      </c>
      <c r="AB121" s="37" t="str">
        <f aca="false">IF($C121="","",IF($T121&lt;&gt;"",IF($U121&lt;&gt;"","продано компании "&amp;$U121&amp;" в цикле "&amp;$T121,"продано Инфраструктуре в цикле "&amp;$T121),IF($D121&gt;=ИНФА!$F$5,"доход со следующего цикла","приносит доход")))</f>
        <v/>
      </c>
      <c r="AC121" s="47" t="str">
        <f aca="false">IF($C121="","",IF($F121="","",IF($E121="","укажите продавца; ",IF(OR($F121&lt;INDEX(ИНФА!$N$5:$N$19,MATCH($C121,ИНФА!$I$5:$I$19,0)),$F121&gt;INDEX(ИНФА!$M$5:$M$19,MATCH($C121,ИНФА!$I$5:$I$19,0))),"цена покупки вне коридора! ","")))&amp;IF($U121="","",IF(OR($V121="",$T121=""),"укажите цикл и цену продажи; ",IF(OR($V121&lt;INDEX(ИНФА!$N$5:$N$19,MATCH($C121,ИНФА!$I$5:$I$19,0)),$V121&gt;INDEX(ИНФА!$M$5:$M$19,MATCH($C121,ИНФА!$I$5:$I$19,0))),"цена продажи вне коридора! ","")))&amp;IF(AND($T121="",COUNTIFS($C$5:$C121,$C121,$T$5:$T121,"")&gt;INDEX(ИНФА!$Q$5:$Q$19,MATCH($C121,ИНФА!$I$5:$I$19,0))),"лотов нет! ","")&amp;IF(AND($E121&lt;&gt;"",$F121=""),"укажите цену сделки; ","")&amp;IF(AND(N($H121)&gt;0,OR($AD121="",$AD121="Профессия"),OR($H121&gt;ИНФА!$F$29,$I121&lt;INDEX(ИНФА!$N$5:$N$19,MATCH($C121,ИНФА!$I$5:$I$19,0))+ИНФА!$F$30)),"скидка больше лимита или цена ниже выкупа + 500! ","")&amp;IF($AE121="","",IF(IFERROR(INDEX($B$5:$B$204,MATCH($AE121,$A$5:$A$204,0))=$B121,TRUE()),"бизнес-пара — только со зданием другой компании; ",""))&amp;IF($Q121="","",IF(IFERROR(INDEX(НАУКА!$B$5:$B$44,MATCH($Q121,НАУКА!$A$5:$A$44,0))&lt;&gt;$B121,FALSE()),"патент другой компании — нужна лицензия или соглашение; ","")))</f>
        <v/>
      </c>
      <c r="AD121" s="44"/>
      <c r="AE121" s="44"/>
      <c r="AF121" s="38" t="str">
        <f aca="false">IF($C121="","",IF(AND($W121=1,OR($C121="Дом",$C121="Кафе")),ИНФА!$F$17*(COUNTIFS($B$5:$B121,$B121,$C$5:$C121,$C121,$W$5:$W121,1)&lt;=COUNTIFS($B$5:$B$204,$B121,$C$5:$C$204,"Парк",$W$5:$W$204,1)),0))</f>
        <v/>
      </c>
      <c r="AG121" s="38" t="str">
        <f aca="false">IF($C121="","",IF($W121=1,IF(OR(AND($AE121&lt;&gt;"",IFERROR(INDEX($W$5:$W$204,MATCH($AE121,$A$5:$A$204,0))=1,FALSE()),IFERROR(INDEX($B$5:$B$204,MATCH($AE121,$A$5:$A$204,0))&lt;&gt;$B121,FALSE())),COUNTIFS($AE$5:$AE$204,$A121,$W$5:$W$204,1,$B$5:$B$204,"&lt;&gt;"&amp;$B121)&gt;0),ИНФА!$F$31,0),0))</f>
        <v/>
      </c>
    </row>
    <row r="122" customFormat="false" ht="15" hidden="false" customHeight="false" outlineLevel="0" collapsed="false">
      <c r="A122" s="15" t="n">
        <v>118</v>
      </c>
      <c r="B122" s="44"/>
      <c r="C122" s="44"/>
      <c r="D122" s="44"/>
      <c r="E122" s="44"/>
      <c r="F122" s="43"/>
      <c r="G122" s="38" t="str">
        <f aca="false">IF($C122="","",IF($F122&lt;&gt;"",$F122,INDEX(ИНФА!$M$5:$M$19,MATCH($C122,ИНФА!$I$5:$I$19,0))))</f>
        <v/>
      </c>
      <c r="H122" s="43"/>
      <c r="I122" s="38" t="str">
        <f aca="false">IF($C122="","",G122-N(H122))</f>
        <v/>
      </c>
      <c r="J122" s="37" t="str">
        <f aca="false">IF($C122="","",INDEX(ИНФА!$J$5:$J$19,MATCH($C122,ИНФА!$I$5:$I$19,0)))</f>
        <v/>
      </c>
      <c r="K122" s="37" t="str">
        <f aca="false">IF($C122="","",INDEX(ИНФА!$K$5:$K$19,MATCH($C122,ИНФА!$I$5:$I$19,0)))</f>
        <v/>
      </c>
      <c r="L122" s="38" t="str">
        <f aca="false">IF($C122="","",INDEX(ИНФА!$O$5:$O$19,MATCH($C122,ИНФА!$I$5:$I$19,0)))</f>
        <v/>
      </c>
      <c r="M122" s="38" t="str">
        <f aca="false">IF($C122="","",INDEX(ИНФА!$P$5:$P$19,MATCH($C122,ИНФА!$I$5:$I$19,0)))</f>
        <v/>
      </c>
      <c r="N122" s="44"/>
      <c r="O122" s="48" t="n">
        <f aca="false">IF(OR($C122="",$N122=""),1,IF(AND($J122="Услуги",IFERROR(INDEX($C$5:$C$204,MATCH($N122,$A$5:$A$204,0))=INDEX(ИНФА!$L$5:$L$19,MATCH($C122,ИНФА!$I$5:$I$19,0)),FALSE()),IFERROR(INDEX($W$5:$W$204,MATCH($N122,$A$5:$A$204,0))=1,FALSE()),COUNTIF($N$5:$N122,$N122)&lt;=ИНФА!$F$16),1+ИНФА!$F$15,1))</f>
        <v>1</v>
      </c>
      <c r="P122" s="47" t="str">
        <f aca="false">IF($C122="","",IF($J122&lt;&gt;"Услуги","",IF($N122="","нет поставщика — нужен "&amp;INDEX(ИНФА!$L$5:$L$19,MATCH($C122,ИНФА!$I$5:$I$19,0)),IF($O122&gt;1,"✓ поставка работает (+50%)",IF(IFERROR(INDEX($C$5:$C$204,MATCH($N122,$A$5:$A$204,0))&lt;&gt;INDEX(ИНФА!$L$5:$L$19,MATCH($C122,ИНФА!$I$5:$I$19,0)),TRUE()),"не тот поставщик: нужен "&amp;INDEX(ИНФА!$L$5:$L$19,MATCH($C122,ИНФА!$I$5:$I$19,0)),IF(COUNTIF($N$5:$N122,$N122)&gt;ИНФА!$F$16,"поставщик перегружен","поставщик ещё не работает или продан"))))))</f>
        <v/>
      </c>
      <c r="Q122" s="44"/>
      <c r="R122" s="48" t="str">
        <f aca="false">IF($C122="","",IF($Q122="",1,IFERROR(INDEX(НАУКА!$K$5:$K$44,MATCH($Q122,НАУКА!$A$5:$A$44,0)),1)))</f>
        <v/>
      </c>
      <c r="S122" s="37" t="str">
        <f aca="false">IF($Q122="","",IFERROR(INDEX(НАУКА!$G$5:$G$44,MATCH($Q122,НАУКА!$A$5:$A$44,0)),""))</f>
        <v/>
      </c>
      <c r="T122" s="44"/>
      <c r="U122" s="44"/>
      <c r="V122" s="43"/>
      <c r="W122" s="37" t="n">
        <f aca="false">IF(OR($C122="",$D122=""),0,IF(AND($D122&lt;ИНФА!$F$5,OR($T122="",$T122&gt;=ИНФА!$F$5)),1,0))</f>
        <v>0</v>
      </c>
      <c r="X122" s="46" t="str">
        <f aca="false">IF($C122="","",INDEX(СОБЫТИЯ!$B$5:$K$8,MATCH($K122,СОБЫТИЯ!$A$5:$A$8,0),ИНФА!$F$5))</f>
        <v/>
      </c>
      <c r="Y122" s="42" t="str">
        <f aca="false">IF($C122="","",IF($W122=1,ROUND($L122*$O122*IF(AND($Q122&lt;&gt;"",$S122&lt;&gt;""),IF($S122&lt;ИНФА!$F$5,$R122,1),1)*$X122,0)-$M122+N($AF122)+N($AG122),0))</f>
        <v/>
      </c>
      <c r="Z122" s="38" t="str">
        <f aca="false">IF($C122="","",IF($T122="",INDEX(ИНФА!$M$5:$M$19,MATCH($C122,ИНФА!$I$5:$I$19,0)),0))</f>
        <v/>
      </c>
      <c r="AA122" s="38" t="str">
        <f aca="false">IF(OR($C122="",$T122=""),"",IF($V122&lt;&gt;"",$V122,INDEX(ИНФА!$N$5:$N$19,MATCH($C122,ИНФА!$I$5:$I$19,0))))</f>
        <v/>
      </c>
      <c r="AB122" s="37" t="str">
        <f aca="false">IF($C122="","",IF($T122&lt;&gt;"",IF($U122&lt;&gt;"","продано компании "&amp;$U122&amp;" в цикле "&amp;$T122,"продано Инфраструктуре в цикле "&amp;$T122),IF($D122&gt;=ИНФА!$F$5,"доход со следующего цикла","приносит доход")))</f>
        <v/>
      </c>
      <c r="AC122" s="47" t="str">
        <f aca="false">IF($C122="","",IF($F122="","",IF($E122="","укажите продавца; ",IF(OR($F122&lt;INDEX(ИНФА!$N$5:$N$19,MATCH($C122,ИНФА!$I$5:$I$19,0)),$F122&gt;INDEX(ИНФА!$M$5:$M$19,MATCH($C122,ИНФА!$I$5:$I$19,0))),"цена покупки вне коридора! ","")))&amp;IF($U122="","",IF(OR($V122="",$T122=""),"укажите цикл и цену продажи; ",IF(OR($V122&lt;INDEX(ИНФА!$N$5:$N$19,MATCH($C122,ИНФА!$I$5:$I$19,0)),$V122&gt;INDEX(ИНФА!$M$5:$M$19,MATCH($C122,ИНФА!$I$5:$I$19,0))),"цена продажи вне коридора! ","")))&amp;IF(AND($T122="",COUNTIFS($C$5:$C122,$C122,$T$5:$T122,"")&gt;INDEX(ИНФА!$Q$5:$Q$19,MATCH($C122,ИНФА!$I$5:$I$19,0))),"лотов нет! ","")&amp;IF(AND($E122&lt;&gt;"",$F122=""),"укажите цену сделки; ","")&amp;IF(AND(N($H122)&gt;0,OR($AD122="",$AD122="Профессия"),OR($H122&gt;ИНФА!$F$29,$I122&lt;INDEX(ИНФА!$N$5:$N$19,MATCH($C122,ИНФА!$I$5:$I$19,0))+ИНФА!$F$30)),"скидка больше лимита или цена ниже выкупа + 500! ","")&amp;IF($AE122="","",IF(IFERROR(INDEX($B$5:$B$204,MATCH($AE122,$A$5:$A$204,0))=$B122,TRUE()),"бизнес-пара — только со зданием другой компании; ",""))&amp;IF($Q122="","",IF(IFERROR(INDEX(НАУКА!$B$5:$B$44,MATCH($Q122,НАУКА!$A$5:$A$44,0))&lt;&gt;$B122,FALSE()),"патент другой компании — нужна лицензия или соглашение; ","")))</f>
        <v/>
      </c>
      <c r="AD122" s="44"/>
      <c r="AE122" s="44"/>
      <c r="AF122" s="38" t="str">
        <f aca="false">IF($C122="","",IF(AND($W122=1,OR($C122="Дом",$C122="Кафе")),ИНФА!$F$17*(COUNTIFS($B$5:$B122,$B122,$C$5:$C122,$C122,$W$5:$W122,1)&lt;=COUNTIFS($B$5:$B$204,$B122,$C$5:$C$204,"Парк",$W$5:$W$204,1)),0))</f>
        <v/>
      </c>
      <c r="AG122" s="38" t="str">
        <f aca="false">IF($C122="","",IF($W122=1,IF(OR(AND($AE122&lt;&gt;"",IFERROR(INDEX($W$5:$W$204,MATCH($AE122,$A$5:$A$204,0))=1,FALSE()),IFERROR(INDEX($B$5:$B$204,MATCH($AE122,$A$5:$A$204,0))&lt;&gt;$B122,FALSE())),COUNTIFS($AE$5:$AE$204,$A122,$W$5:$W$204,1,$B$5:$B$204,"&lt;&gt;"&amp;$B122)&gt;0),ИНФА!$F$31,0),0))</f>
        <v/>
      </c>
    </row>
    <row r="123" customFormat="false" ht="15" hidden="false" customHeight="false" outlineLevel="0" collapsed="false">
      <c r="A123" s="15" t="n">
        <v>119</v>
      </c>
      <c r="B123" s="44"/>
      <c r="C123" s="44"/>
      <c r="D123" s="44"/>
      <c r="E123" s="44"/>
      <c r="F123" s="43"/>
      <c r="G123" s="38" t="str">
        <f aca="false">IF($C123="","",IF($F123&lt;&gt;"",$F123,INDEX(ИНФА!$M$5:$M$19,MATCH($C123,ИНФА!$I$5:$I$19,0))))</f>
        <v/>
      </c>
      <c r="H123" s="43"/>
      <c r="I123" s="38" t="str">
        <f aca="false">IF($C123="","",G123-N(H123))</f>
        <v/>
      </c>
      <c r="J123" s="37" t="str">
        <f aca="false">IF($C123="","",INDEX(ИНФА!$J$5:$J$19,MATCH($C123,ИНФА!$I$5:$I$19,0)))</f>
        <v/>
      </c>
      <c r="K123" s="37" t="str">
        <f aca="false">IF($C123="","",INDEX(ИНФА!$K$5:$K$19,MATCH($C123,ИНФА!$I$5:$I$19,0)))</f>
        <v/>
      </c>
      <c r="L123" s="38" t="str">
        <f aca="false">IF($C123="","",INDEX(ИНФА!$O$5:$O$19,MATCH($C123,ИНФА!$I$5:$I$19,0)))</f>
        <v/>
      </c>
      <c r="M123" s="38" t="str">
        <f aca="false">IF($C123="","",INDEX(ИНФА!$P$5:$P$19,MATCH($C123,ИНФА!$I$5:$I$19,0)))</f>
        <v/>
      </c>
      <c r="N123" s="44"/>
      <c r="O123" s="48" t="n">
        <f aca="false">IF(OR($C123="",$N123=""),1,IF(AND($J123="Услуги",IFERROR(INDEX($C$5:$C$204,MATCH($N123,$A$5:$A$204,0))=INDEX(ИНФА!$L$5:$L$19,MATCH($C123,ИНФА!$I$5:$I$19,0)),FALSE()),IFERROR(INDEX($W$5:$W$204,MATCH($N123,$A$5:$A$204,0))=1,FALSE()),COUNTIF($N$5:$N123,$N123)&lt;=ИНФА!$F$16),1+ИНФА!$F$15,1))</f>
        <v>1</v>
      </c>
      <c r="P123" s="47" t="str">
        <f aca="false">IF($C123="","",IF($J123&lt;&gt;"Услуги","",IF($N123="","нет поставщика — нужен "&amp;INDEX(ИНФА!$L$5:$L$19,MATCH($C123,ИНФА!$I$5:$I$19,0)),IF($O123&gt;1,"✓ поставка работает (+50%)",IF(IFERROR(INDEX($C$5:$C$204,MATCH($N123,$A$5:$A$204,0))&lt;&gt;INDEX(ИНФА!$L$5:$L$19,MATCH($C123,ИНФА!$I$5:$I$19,0)),TRUE()),"не тот поставщик: нужен "&amp;INDEX(ИНФА!$L$5:$L$19,MATCH($C123,ИНФА!$I$5:$I$19,0)),IF(COUNTIF($N$5:$N123,$N123)&gt;ИНФА!$F$16,"поставщик перегружен","поставщик ещё не работает или продан"))))))</f>
        <v/>
      </c>
      <c r="Q123" s="44"/>
      <c r="R123" s="48" t="str">
        <f aca="false">IF($C123="","",IF($Q123="",1,IFERROR(INDEX(НАУКА!$K$5:$K$44,MATCH($Q123,НАУКА!$A$5:$A$44,0)),1)))</f>
        <v/>
      </c>
      <c r="S123" s="37" t="str">
        <f aca="false">IF($Q123="","",IFERROR(INDEX(НАУКА!$G$5:$G$44,MATCH($Q123,НАУКА!$A$5:$A$44,0)),""))</f>
        <v/>
      </c>
      <c r="T123" s="44"/>
      <c r="U123" s="44"/>
      <c r="V123" s="43"/>
      <c r="W123" s="37" t="n">
        <f aca="false">IF(OR($C123="",$D123=""),0,IF(AND($D123&lt;ИНФА!$F$5,OR($T123="",$T123&gt;=ИНФА!$F$5)),1,0))</f>
        <v>0</v>
      </c>
      <c r="X123" s="46" t="str">
        <f aca="false">IF($C123="","",INDEX(СОБЫТИЯ!$B$5:$K$8,MATCH($K123,СОБЫТИЯ!$A$5:$A$8,0),ИНФА!$F$5))</f>
        <v/>
      </c>
      <c r="Y123" s="42" t="str">
        <f aca="false">IF($C123="","",IF($W123=1,ROUND($L123*$O123*IF(AND($Q123&lt;&gt;"",$S123&lt;&gt;""),IF($S123&lt;ИНФА!$F$5,$R123,1),1)*$X123,0)-$M123+N($AF123)+N($AG123),0))</f>
        <v/>
      </c>
      <c r="Z123" s="38" t="str">
        <f aca="false">IF($C123="","",IF($T123="",INDEX(ИНФА!$M$5:$M$19,MATCH($C123,ИНФА!$I$5:$I$19,0)),0))</f>
        <v/>
      </c>
      <c r="AA123" s="38" t="str">
        <f aca="false">IF(OR($C123="",$T123=""),"",IF($V123&lt;&gt;"",$V123,INDEX(ИНФА!$N$5:$N$19,MATCH($C123,ИНФА!$I$5:$I$19,0))))</f>
        <v/>
      </c>
      <c r="AB123" s="37" t="str">
        <f aca="false">IF($C123="","",IF($T123&lt;&gt;"",IF($U123&lt;&gt;"","продано компании "&amp;$U123&amp;" в цикле "&amp;$T123,"продано Инфраструктуре в цикле "&amp;$T123),IF($D123&gt;=ИНФА!$F$5,"доход со следующего цикла","приносит доход")))</f>
        <v/>
      </c>
      <c r="AC123" s="47" t="str">
        <f aca="false">IF($C123="","",IF($F123="","",IF($E123="","укажите продавца; ",IF(OR($F123&lt;INDEX(ИНФА!$N$5:$N$19,MATCH($C123,ИНФА!$I$5:$I$19,0)),$F123&gt;INDEX(ИНФА!$M$5:$M$19,MATCH($C123,ИНФА!$I$5:$I$19,0))),"цена покупки вне коридора! ","")))&amp;IF($U123="","",IF(OR($V123="",$T123=""),"укажите цикл и цену продажи; ",IF(OR($V123&lt;INDEX(ИНФА!$N$5:$N$19,MATCH($C123,ИНФА!$I$5:$I$19,0)),$V123&gt;INDEX(ИНФА!$M$5:$M$19,MATCH($C123,ИНФА!$I$5:$I$19,0))),"цена продажи вне коридора! ","")))&amp;IF(AND($T123="",COUNTIFS($C$5:$C123,$C123,$T$5:$T123,"")&gt;INDEX(ИНФА!$Q$5:$Q$19,MATCH($C123,ИНФА!$I$5:$I$19,0))),"лотов нет! ","")&amp;IF(AND($E123&lt;&gt;"",$F123=""),"укажите цену сделки; ","")&amp;IF(AND(N($H123)&gt;0,OR($AD123="",$AD123="Профессия"),OR($H123&gt;ИНФА!$F$29,$I123&lt;INDEX(ИНФА!$N$5:$N$19,MATCH($C123,ИНФА!$I$5:$I$19,0))+ИНФА!$F$30)),"скидка больше лимита или цена ниже выкупа + 500! ","")&amp;IF($AE123="","",IF(IFERROR(INDEX($B$5:$B$204,MATCH($AE123,$A$5:$A$204,0))=$B123,TRUE()),"бизнес-пара — только со зданием другой компании; ",""))&amp;IF($Q123="","",IF(IFERROR(INDEX(НАУКА!$B$5:$B$44,MATCH($Q123,НАУКА!$A$5:$A$44,0))&lt;&gt;$B123,FALSE()),"патент другой компании — нужна лицензия или соглашение; ","")))</f>
        <v/>
      </c>
      <c r="AD123" s="44"/>
      <c r="AE123" s="44"/>
      <c r="AF123" s="38" t="str">
        <f aca="false">IF($C123="","",IF(AND($W123=1,OR($C123="Дом",$C123="Кафе")),ИНФА!$F$17*(COUNTIFS($B$5:$B123,$B123,$C$5:$C123,$C123,$W$5:$W123,1)&lt;=COUNTIFS($B$5:$B$204,$B123,$C$5:$C$204,"Парк",$W$5:$W$204,1)),0))</f>
        <v/>
      </c>
      <c r="AG123" s="38" t="str">
        <f aca="false">IF($C123="","",IF($W123=1,IF(OR(AND($AE123&lt;&gt;"",IFERROR(INDEX($W$5:$W$204,MATCH($AE123,$A$5:$A$204,0))=1,FALSE()),IFERROR(INDEX($B$5:$B$204,MATCH($AE123,$A$5:$A$204,0))&lt;&gt;$B123,FALSE())),COUNTIFS($AE$5:$AE$204,$A123,$W$5:$W$204,1,$B$5:$B$204,"&lt;&gt;"&amp;$B123)&gt;0),ИНФА!$F$31,0),0))</f>
        <v/>
      </c>
    </row>
    <row r="124" customFormat="false" ht="15" hidden="false" customHeight="false" outlineLevel="0" collapsed="false">
      <c r="A124" s="15" t="n">
        <v>120</v>
      </c>
      <c r="B124" s="44"/>
      <c r="C124" s="44"/>
      <c r="D124" s="44"/>
      <c r="E124" s="44"/>
      <c r="F124" s="43"/>
      <c r="G124" s="38" t="str">
        <f aca="false">IF($C124="","",IF($F124&lt;&gt;"",$F124,INDEX(ИНФА!$M$5:$M$19,MATCH($C124,ИНФА!$I$5:$I$19,0))))</f>
        <v/>
      </c>
      <c r="H124" s="43"/>
      <c r="I124" s="38" t="str">
        <f aca="false">IF($C124="","",G124-N(H124))</f>
        <v/>
      </c>
      <c r="J124" s="37" t="str">
        <f aca="false">IF($C124="","",INDEX(ИНФА!$J$5:$J$19,MATCH($C124,ИНФА!$I$5:$I$19,0)))</f>
        <v/>
      </c>
      <c r="K124" s="37" t="str">
        <f aca="false">IF($C124="","",INDEX(ИНФА!$K$5:$K$19,MATCH($C124,ИНФА!$I$5:$I$19,0)))</f>
        <v/>
      </c>
      <c r="L124" s="38" t="str">
        <f aca="false">IF($C124="","",INDEX(ИНФА!$O$5:$O$19,MATCH($C124,ИНФА!$I$5:$I$19,0)))</f>
        <v/>
      </c>
      <c r="M124" s="38" t="str">
        <f aca="false">IF($C124="","",INDEX(ИНФА!$P$5:$P$19,MATCH($C124,ИНФА!$I$5:$I$19,0)))</f>
        <v/>
      </c>
      <c r="N124" s="44"/>
      <c r="O124" s="48" t="n">
        <f aca="false">IF(OR($C124="",$N124=""),1,IF(AND($J124="Услуги",IFERROR(INDEX($C$5:$C$204,MATCH($N124,$A$5:$A$204,0))=INDEX(ИНФА!$L$5:$L$19,MATCH($C124,ИНФА!$I$5:$I$19,0)),FALSE()),IFERROR(INDEX($W$5:$W$204,MATCH($N124,$A$5:$A$204,0))=1,FALSE()),COUNTIF($N$5:$N124,$N124)&lt;=ИНФА!$F$16),1+ИНФА!$F$15,1))</f>
        <v>1</v>
      </c>
      <c r="P124" s="47" t="str">
        <f aca="false">IF($C124="","",IF($J124&lt;&gt;"Услуги","",IF($N124="","нет поставщика — нужен "&amp;INDEX(ИНФА!$L$5:$L$19,MATCH($C124,ИНФА!$I$5:$I$19,0)),IF($O124&gt;1,"✓ поставка работает (+50%)",IF(IFERROR(INDEX($C$5:$C$204,MATCH($N124,$A$5:$A$204,0))&lt;&gt;INDEX(ИНФА!$L$5:$L$19,MATCH($C124,ИНФА!$I$5:$I$19,0)),TRUE()),"не тот поставщик: нужен "&amp;INDEX(ИНФА!$L$5:$L$19,MATCH($C124,ИНФА!$I$5:$I$19,0)),IF(COUNTIF($N$5:$N124,$N124)&gt;ИНФА!$F$16,"поставщик перегружен","поставщик ещё не работает или продан"))))))</f>
        <v/>
      </c>
      <c r="Q124" s="44"/>
      <c r="R124" s="48" t="str">
        <f aca="false">IF($C124="","",IF($Q124="",1,IFERROR(INDEX(НАУКА!$K$5:$K$44,MATCH($Q124,НАУКА!$A$5:$A$44,0)),1)))</f>
        <v/>
      </c>
      <c r="S124" s="37" t="str">
        <f aca="false">IF($Q124="","",IFERROR(INDEX(НАУКА!$G$5:$G$44,MATCH($Q124,НАУКА!$A$5:$A$44,0)),""))</f>
        <v/>
      </c>
      <c r="T124" s="44"/>
      <c r="U124" s="44"/>
      <c r="V124" s="43"/>
      <c r="W124" s="37" t="n">
        <f aca="false">IF(OR($C124="",$D124=""),0,IF(AND($D124&lt;ИНФА!$F$5,OR($T124="",$T124&gt;=ИНФА!$F$5)),1,0))</f>
        <v>0</v>
      </c>
      <c r="X124" s="46" t="str">
        <f aca="false">IF($C124="","",INDEX(СОБЫТИЯ!$B$5:$K$8,MATCH($K124,СОБЫТИЯ!$A$5:$A$8,0),ИНФА!$F$5))</f>
        <v/>
      </c>
      <c r="Y124" s="42" t="str">
        <f aca="false">IF($C124="","",IF($W124=1,ROUND($L124*$O124*IF(AND($Q124&lt;&gt;"",$S124&lt;&gt;""),IF($S124&lt;ИНФА!$F$5,$R124,1),1)*$X124,0)-$M124+N($AF124)+N($AG124),0))</f>
        <v/>
      </c>
      <c r="Z124" s="38" t="str">
        <f aca="false">IF($C124="","",IF($T124="",INDEX(ИНФА!$M$5:$M$19,MATCH($C124,ИНФА!$I$5:$I$19,0)),0))</f>
        <v/>
      </c>
      <c r="AA124" s="38" t="str">
        <f aca="false">IF(OR($C124="",$T124=""),"",IF($V124&lt;&gt;"",$V124,INDEX(ИНФА!$N$5:$N$19,MATCH($C124,ИНФА!$I$5:$I$19,0))))</f>
        <v/>
      </c>
      <c r="AB124" s="37" t="str">
        <f aca="false">IF($C124="","",IF($T124&lt;&gt;"",IF($U124&lt;&gt;"","продано компании "&amp;$U124&amp;" в цикле "&amp;$T124,"продано Инфраструктуре в цикле "&amp;$T124),IF($D124&gt;=ИНФА!$F$5,"доход со следующего цикла","приносит доход")))</f>
        <v/>
      </c>
      <c r="AC124" s="47" t="str">
        <f aca="false">IF($C124="","",IF($F124="","",IF($E124="","укажите продавца; ",IF(OR($F124&lt;INDEX(ИНФА!$N$5:$N$19,MATCH($C124,ИНФА!$I$5:$I$19,0)),$F124&gt;INDEX(ИНФА!$M$5:$M$19,MATCH($C124,ИНФА!$I$5:$I$19,0))),"цена покупки вне коридора! ","")))&amp;IF($U124="","",IF(OR($V124="",$T124=""),"укажите цикл и цену продажи; ",IF(OR($V124&lt;INDEX(ИНФА!$N$5:$N$19,MATCH($C124,ИНФА!$I$5:$I$19,0)),$V124&gt;INDEX(ИНФА!$M$5:$M$19,MATCH($C124,ИНФА!$I$5:$I$19,0))),"цена продажи вне коридора! ","")))&amp;IF(AND($T124="",COUNTIFS($C$5:$C124,$C124,$T$5:$T124,"")&gt;INDEX(ИНФА!$Q$5:$Q$19,MATCH($C124,ИНФА!$I$5:$I$19,0))),"лотов нет! ","")&amp;IF(AND($E124&lt;&gt;"",$F124=""),"укажите цену сделки; ","")&amp;IF(AND(N($H124)&gt;0,OR($AD124="",$AD124="Профессия"),OR($H124&gt;ИНФА!$F$29,$I124&lt;INDEX(ИНФА!$N$5:$N$19,MATCH($C124,ИНФА!$I$5:$I$19,0))+ИНФА!$F$30)),"скидка больше лимита или цена ниже выкупа + 500! ","")&amp;IF($AE124="","",IF(IFERROR(INDEX($B$5:$B$204,MATCH($AE124,$A$5:$A$204,0))=$B124,TRUE()),"бизнес-пара — только со зданием другой компании; ",""))&amp;IF($Q124="","",IF(IFERROR(INDEX(НАУКА!$B$5:$B$44,MATCH($Q124,НАУКА!$A$5:$A$44,0))&lt;&gt;$B124,FALSE()),"патент другой компании — нужна лицензия или соглашение; ","")))</f>
        <v/>
      </c>
      <c r="AD124" s="44"/>
      <c r="AE124" s="44"/>
      <c r="AF124" s="38" t="str">
        <f aca="false">IF($C124="","",IF(AND($W124=1,OR($C124="Дом",$C124="Кафе")),ИНФА!$F$17*(COUNTIFS($B$5:$B124,$B124,$C$5:$C124,$C124,$W$5:$W124,1)&lt;=COUNTIFS($B$5:$B$204,$B124,$C$5:$C$204,"Парк",$W$5:$W$204,1)),0))</f>
        <v/>
      </c>
      <c r="AG124" s="38" t="str">
        <f aca="false">IF($C124="","",IF($W124=1,IF(OR(AND($AE124&lt;&gt;"",IFERROR(INDEX($W$5:$W$204,MATCH($AE124,$A$5:$A$204,0))=1,FALSE()),IFERROR(INDEX($B$5:$B$204,MATCH($AE124,$A$5:$A$204,0))&lt;&gt;$B124,FALSE())),COUNTIFS($AE$5:$AE$204,$A124,$W$5:$W$204,1,$B$5:$B$204,"&lt;&gt;"&amp;$B124)&gt;0),ИНФА!$F$31,0),0))</f>
        <v/>
      </c>
    </row>
    <row r="125" customFormat="false" ht="15" hidden="false" customHeight="false" outlineLevel="0" collapsed="false">
      <c r="A125" s="15" t="n">
        <v>121</v>
      </c>
      <c r="B125" s="44"/>
      <c r="C125" s="44"/>
      <c r="D125" s="44"/>
      <c r="E125" s="44"/>
      <c r="F125" s="43"/>
      <c r="G125" s="38" t="str">
        <f aca="false">IF($C125="","",IF($F125&lt;&gt;"",$F125,INDEX(ИНФА!$M$5:$M$19,MATCH($C125,ИНФА!$I$5:$I$19,0))))</f>
        <v/>
      </c>
      <c r="H125" s="43"/>
      <c r="I125" s="38" t="str">
        <f aca="false">IF($C125="","",G125-N(H125))</f>
        <v/>
      </c>
      <c r="J125" s="37" t="str">
        <f aca="false">IF($C125="","",INDEX(ИНФА!$J$5:$J$19,MATCH($C125,ИНФА!$I$5:$I$19,0)))</f>
        <v/>
      </c>
      <c r="K125" s="37" t="str">
        <f aca="false">IF($C125="","",INDEX(ИНФА!$K$5:$K$19,MATCH($C125,ИНФА!$I$5:$I$19,0)))</f>
        <v/>
      </c>
      <c r="L125" s="38" t="str">
        <f aca="false">IF($C125="","",INDEX(ИНФА!$O$5:$O$19,MATCH($C125,ИНФА!$I$5:$I$19,0)))</f>
        <v/>
      </c>
      <c r="M125" s="38" t="str">
        <f aca="false">IF($C125="","",INDEX(ИНФА!$P$5:$P$19,MATCH($C125,ИНФА!$I$5:$I$19,0)))</f>
        <v/>
      </c>
      <c r="N125" s="44"/>
      <c r="O125" s="48" t="n">
        <f aca="false">IF(OR($C125="",$N125=""),1,IF(AND($J125="Услуги",IFERROR(INDEX($C$5:$C$204,MATCH($N125,$A$5:$A$204,0))=INDEX(ИНФА!$L$5:$L$19,MATCH($C125,ИНФА!$I$5:$I$19,0)),FALSE()),IFERROR(INDEX($W$5:$W$204,MATCH($N125,$A$5:$A$204,0))=1,FALSE()),COUNTIF($N$5:$N125,$N125)&lt;=ИНФА!$F$16),1+ИНФА!$F$15,1))</f>
        <v>1</v>
      </c>
      <c r="P125" s="47" t="str">
        <f aca="false">IF($C125="","",IF($J125&lt;&gt;"Услуги","",IF($N125="","нет поставщика — нужен "&amp;INDEX(ИНФА!$L$5:$L$19,MATCH($C125,ИНФА!$I$5:$I$19,0)),IF($O125&gt;1,"✓ поставка работает (+50%)",IF(IFERROR(INDEX($C$5:$C$204,MATCH($N125,$A$5:$A$204,0))&lt;&gt;INDEX(ИНФА!$L$5:$L$19,MATCH($C125,ИНФА!$I$5:$I$19,0)),TRUE()),"не тот поставщик: нужен "&amp;INDEX(ИНФА!$L$5:$L$19,MATCH($C125,ИНФА!$I$5:$I$19,0)),IF(COUNTIF($N$5:$N125,$N125)&gt;ИНФА!$F$16,"поставщик перегружен","поставщик ещё не работает или продан"))))))</f>
        <v/>
      </c>
      <c r="Q125" s="44"/>
      <c r="R125" s="48" t="str">
        <f aca="false">IF($C125="","",IF($Q125="",1,IFERROR(INDEX(НАУКА!$K$5:$K$44,MATCH($Q125,НАУКА!$A$5:$A$44,0)),1)))</f>
        <v/>
      </c>
      <c r="S125" s="37" t="str">
        <f aca="false">IF($Q125="","",IFERROR(INDEX(НАУКА!$G$5:$G$44,MATCH($Q125,НАУКА!$A$5:$A$44,0)),""))</f>
        <v/>
      </c>
      <c r="T125" s="44"/>
      <c r="U125" s="44"/>
      <c r="V125" s="43"/>
      <c r="W125" s="37" t="n">
        <f aca="false">IF(OR($C125="",$D125=""),0,IF(AND($D125&lt;ИНФА!$F$5,OR($T125="",$T125&gt;=ИНФА!$F$5)),1,0))</f>
        <v>0</v>
      </c>
      <c r="X125" s="46" t="str">
        <f aca="false">IF($C125="","",INDEX(СОБЫТИЯ!$B$5:$K$8,MATCH($K125,СОБЫТИЯ!$A$5:$A$8,0),ИНФА!$F$5))</f>
        <v/>
      </c>
      <c r="Y125" s="42" t="str">
        <f aca="false">IF($C125="","",IF($W125=1,ROUND($L125*$O125*IF(AND($Q125&lt;&gt;"",$S125&lt;&gt;""),IF($S125&lt;ИНФА!$F$5,$R125,1),1)*$X125,0)-$M125+N($AF125)+N($AG125),0))</f>
        <v/>
      </c>
      <c r="Z125" s="38" t="str">
        <f aca="false">IF($C125="","",IF($T125="",INDEX(ИНФА!$M$5:$M$19,MATCH($C125,ИНФА!$I$5:$I$19,0)),0))</f>
        <v/>
      </c>
      <c r="AA125" s="38" t="str">
        <f aca="false">IF(OR($C125="",$T125=""),"",IF($V125&lt;&gt;"",$V125,INDEX(ИНФА!$N$5:$N$19,MATCH($C125,ИНФА!$I$5:$I$19,0))))</f>
        <v/>
      </c>
      <c r="AB125" s="37" t="str">
        <f aca="false">IF($C125="","",IF($T125&lt;&gt;"",IF($U125&lt;&gt;"","продано компании "&amp;$U125&amp;" в цикле "&amp;$T125,"продано Инфраструктуре в цикле "&amp;$T125),IF($D125&gt;=ИНФА!$F$5,"доход со следующего цикла","приносит доход")))</f>
        <v/>
      </c>
      <c r="AC125" s="47" t="str">
        <f aca="false">IF($C125="","",IF($F125="","",IF($E125="","укажите продавца; ",IF(OR($F125&lt;INDEX(ИНФА!$N$5:$N$19,MATCH($C125,ИНФА!$I$5:$I$19,0)),$F125&gt;INDEX(ИНФА!$M$5:$M$19,MATCH($C125,ИНФА!$I$5:$I$19,0))),"цена покупки вне коридора! ","")))&amp;IF($U125="","",IF(OR($V125="",$T125=""),"укажите цикл и цену продажи; ",IF(OR($V125&lt;INDEX(ИНФА!$N$5:$N$19,MATCH($C125,ИНФА!$I$5:$I$19,0)),$V125&gt;INDEX(ИНФА!$M$5:$M$19,MATCH($C125,ИНФА!$I$5:$I$19,0))),"цена продажи вне коридора! ","")))&amp;IF(AND($T125="",COUNTIFS($C$5:$C125,$C125,$T$5:$T125,"")&gt;INDEX(ИНФА!$Q$5:$Q$19,MATCH($C125,ИНФА!$I$5:$I$19,0))),"лотов нет! ","")&amp;IF(AND($E125&lt;&gt;"",$F125=""),"укажите цену сделки; ","")&amp;IF(AND(N($H125)&gt;0,OR($AD125="",$AD125="Профессия"),OR($H125&gt;ИНФА!$F$29,$I125&lt;INDEX(ИНФА!$N$5:$N$19,MATCH($C125,ИНФА!$I$5:$I$19,0))+ИНФА!$F$30)),"скидка больше лимита или цена ниже выкупа + 500! ","")&amp;IF($AE125="","",IF(IFERROR(INDEX($B$5:$B$204,MATCH($AE125,$A$5:$A$204,0))=$B125,TRUE()),"бизнес-пара — только со зданием другой компании; ",""))&amp;IF($Q125="","",IF(IFERROR(INDEX(НАУКА!$B$5:$B$44,MATCH($Q125,НАУКА!$A$5:$A$44,0))&lt;&gt;$B125,FALSE()),"патент другой компании — нужна лицензия или соглашение; ","")))</f>
        <v/>
      </c>
      <c r="AD125" s="44"/>
      <c r="AE125" s="44"/>
      <c r="AF125" s="38" t="str">
        <f aca="false">IF($C125="","",IF(AND($W125=1,OR($C125="Дом",$C125="Кафе")),ИНФА!$F$17*(COUNTIFS($B$5:$B125,$B125,$C$5:$C125,$C125,$W$5:$W125,1)&lt;=COUNTIFS($B$5:$B$204,$B125,$C$5:$C$204,"Парк",$W$5:$W$204,1)),0))</f>
        <v/>
      </c>
      <c r="AG125" s="38" t="str">
        <f aca="false">IF($C125="","",IF($W125=1,IF(OR(AND($AE125&lt;&gt;"",IFERROR(INDEX($W$5:$W$204,MATCH($AE125,$A$5:$A$204,0))=1,FALSE()),IFERROR(INDEX($B$5:$B$204,MATCH($AE125,$A$5:$A$204,0))&lt;&gt;$B125,FALSE())),COUNTIFS($AE$5:$AE$204,$A125,$W$5:$W$204,1,$B$5:$B$204,"&lt;&gt;"&amp;$B125)&gt;0),ИНФА!$F$31,0),0))</f>
        <v/>
      </c>
    </row>
    <row r="126" customFormat="false" ht="15" hidden="false" customHeight="false" outlineLevel="0" collapsed="false">
      <c r="A126" s="15" t="n">
        <v>122</v>
      </c>
      <c r="B126" s="44"/>
      <c r="C126" s="44"/>
      <c r="D126" s="44"/>
      <c r="E126" s="44"/>
      <c r="F126" s="43"/>
      <c r="G126" s="38" t="str">
        <f aca="false">IF($C126="","",IF($F126&lt;&gt;"",$F126,INDEX(ИНФА!$M$5:$M$19,MATCH($C126,ИНФА!$I$5:$I$19,0))))</f>
        <v/>
      </c>
      <c r="H126" s="43"/>
      <c r="I126" s="38" t="str">
        <f aca="false">IF($C126="","",G126-N(H126))</f>
        <v/>
      </c>
      <c r="J126" s="37" t="str">
        <f aca="false">IF($C126="","",INDEX(ИНФА!$J$5:$J$19,MATCH($C126,ИНФА!$I$5:$I$19,0)))</f>
        <v/>
      </c>
      <c r="K126" s="37" t="str">
        <f aca="false">IF($C126="","",INDEX(ИНФА!$K$5:$K$19,MATCH($C126,ИНФА!$I$5:$I$19,0)))</f>
        <v/>
      </c>
      <c r="L126" s="38" t="str">
        <f aca="false">IF($C126="","",INDEX(ИНФА!$O$5:$O$19,MATCH($C126,ИНФА!$I$5:$I$19,0)))</f>
        <v/>
      </c>
      <c r="M126" s="38" t="str">
        <f aca="false">IF($C126="","",INDEX(ИНФА!$P$5:$P$19,MATCH($C126,ИНФА!$I$5:$I$19,0)))</f>
        <v/>
      </c>
      <c r="N126" s="44"/>
      <c r="O126" s="48" t="n">
        <f aca="false">IF(OR($C126="",$N126=""),1,IF(AND($J126="Услуги",IFERROR(INDEX($C$5:$C$204,MATCH($N126,$A$5:$A$204,0))=INDEX(ИНФА!$L$5:$L$19,MATCH($C126,ИНФА!$I$5:$I$19,0)),FALSE()),IFERROR(INDEX($W$5:$W$204,MATCH($N126,$A$5:$A$204,0))=1,FALSE()),COUNTIF($N$5:$N126,$N126)&lt;=ИНФА!$F$16),1+ИНФА!$F$15,1))</f>
        <v>1</v>
      </c>
      <c r="P126" s="47" t="str">
        <f aca="false">IF($C126="","",IF($J126&lt;&gt;"Услуги","",IF($N126="","нет поставщика — нужен "&amp;INDEX(ИНФА!$L$5:$L$19,MATCH($C126,ИНФА!$I$5:$I$19,0)),IF($O126&gt;1,"✓ поставка работает (+50%)",IF(IFERROR(INDEX($C$5:$C$204,MATCH($N126,$A$5:$A$204,0))&lt;&gt;INDEX(ИНФА!$L$5:$L$19,MATCH($C126,ИНФА!$I$5:$I$19,0)),TRUE()),"не тот поставщик: нужен "&amp;INDEX(ИНФА!$L$5:$L$19,MATCH($C126,ИНФА!$I$5:$I$19,0)),IF(COUNTIF($N$5:$N126,$N126)&gt;ИНФА!$F$16,"поставщик перегружен","поставщик ещё не работает или продан"))))))</f>
        <v/>
      </c>
      <c r="Q126" s="44"/>
      <c r="R126" s="48" t="str">
        <f aca="false">IF($C126="","",IF($Q126="",1,IFERROR(INDEX(НАУКА!$K$5:$K$44,MATCH($Q126,НАУКА!$A$5:$A$44,0)),1)))</f>
        <v/>
      </c>
      <c r="S126" s="37" t="str">
        <f aca="false">IF($Q126="","",IFERROR(INDEX(НАУКА!$G$5:$G$44,MATCH($Q126,НАУКА!$A$5:$A$44,0)),""))</f>
        <v/>
      </c>
      <c r="T126" s="44"/>
      <c r="U126" s="44"/>
      <c r="V126" s="43"/>
      <c r="W126" s="37" t="n">
        <f aca="false">IF(OR($C126="",$D126=""),0,IF(AND($D126&lt;ИНФА!$F$5,OR($T126="",$T126&gt;=ИНФА!$F$5)),1,0))</f>
        <v>0</v>
      </c>
      <c r="X126" s="46" t="str">
        <f aca="false">IF($C126="","",INDEX(СОБЫТИЯ!$B$5:$K$8,MATCH($K126,СОБЫТИЯ!$A$5:$A$8,0),ИНФА!$F$5))</f>
        <v/>
      </c>
      <c r="Y126" s="42" t="str">
        <f aca="false">IF($C126="","",IF($W126=1,ROUND($L126*$O126*IF(AND($Q126&lt;&gt;"",$S126&lt;&gt;""),IF($S126&lt;ИНФА!$F$5,$R126,1),1)*$X126,0)-$M126+N($AF126)+N($AG126),0))</f>
        <v/>
      </c>
      <c r="Z126" s="38" t="str">
        <f aca="false">IF($C126="","",IF($T126="",INDEX(ИНФА!$M$5:$M$19,MATCH($C126,ИНФА!$I$5:$I$19,0)),0))</f>
        <v/>
      </c>
      <c r="AA126" s="38" t="str">
        <f aca="false">IF(OR($C126="",$T126=""),"",IF($V126&lt;&gt;"",$V126,INDEX(ИНФА!$N$5:$N$19,MATCH($C126,ИНФА!$I$5:$I$19,0))))</f>
        <v/>
      </c>
      <c r="AB126" s="37" t="str">
        <f aca="false">IF($C126="","",IF($T126&lt;&gt;"",IF($U126&lt;&gt;"","продано компании "&amp;$U126&amp;" в цикле "&amp;$T126,"продано Инфраструктуре в цикле "&amp;$T126),IF($D126&gt;=ИНФА!$F$5,"доход со следующего цикла","приносит доход")))</f>
        <v/>
      </c>
      <c r="AC126" s="47" t="str">
        <f aca="false">IF($C126="","",IF($F126="","",IF($E126="","укажите продавца; ",IF(OR($F126&lt;INDEX(ИНФА!$N$5:$N$19,MATCH($C126,ИНФА!$I$5:$I$19,0)),$F126&gt;INDEX(ИНФА!$M$5:$M$19,MATCH($C126,ИНФА!$I$5:$I$19,0))),"цена покупки вне коридора! ","")))&amp;IF($U126="","",IF(OR($V126="",$T126=""),"укажите цикл и цену продажи; ",IF(OR($V126&lt;INDEX(ИНФА!$N$5:$N$19,MATCH($C126,ИНФА!$I$5:$I$19,0)),$V126&gt;INDEX(ИНФА!$M$5:$M$19,MATCH($C126,ИНФА!$I$5:$I$19,0))),"цена продажи вне коридора! ","")))&amp;IF(AND($T126="",COUNTIFS($C$5:$C126,$C126,$T$5:$T126,"")&gt;INDEX(ИНФА!$Q$5:$Q$19,MATCH($C126,ИНФА!$I$5:$I$19,0))),"лотов нет! ","")&amp;IF(AND($E126&lt;&gt;"",$F126=""),"укажите цену сделки; ","")&amp;IF(AND(N($H126)&gt;0,OR($AD126="",$AD126="Профессия"),OR($H126&gt;ИНФА!$F$29,$I126&lt;INDEX(ИНФА!$N$5:$N$19,MATCH($C126,ИНФА!$I$5:$I$19,0))+ИНФА!$F$30)),"скидка больше лимита или цена ниже выкупа + 500! ","")&amp;IF($AE126="","",IF(IFERROR(INDEX($B$5:$B$204,MATCH($AE126,$A$5:$A$204,0))=$B126,TRUE()),"бизнес-пара — только со зданием другой компании; ",""))&amp;IF($Q126="","",IF(IFERROR(INDEX(НАУКА!$B$5:$B$44,MATCH($Q126,НАУКА!$A$5:$A$44,0))&lt;&gt;$B126,FALSE()),"патент другой компании — нужна лицензия или соглашение; ","")))</f>
        <v/>
      </c>
      <c r="AD126" s="44"/>
      <c r="AE126" s="44"/>
      <c r="AF126" s="38" t="str">
        <f aca="false">IF($C126="","",IF(AND($W126=1,OR($C126="Дом",$C126="Кафе")),ИНФА!$F$17*(COUNTIFS($B$5:$B126,$B126,$C$5:$C126,$C126,$W$5:$W126,1)&lt;=COUNTIFS($B$5:$B$204,$B126,$C$5:$C$204,"Парк",$W$5:$W$204,1)),0))</f>
        <v/>
      </c>
      <c r="AG126" s="38" t="str">
        <f aca="false">IF($C126="","",IF($W126=1,IF(OR(AND($AE126&lt;&gt;"",IFERROR(INDEX($W$5:$W$204,MATCH($AE126,$A$5:$A$204,0))=1,FALSE()),IFERROR(INDEX($B$5:$B$204,MATCH($AE126,$A$5:$A$204,0))&lt;&gt;$B126,FALSE())),COUNTIFS($AE$5:$AE$204,$A126,$W$5:$W$204,1,$B$5:$B$204,"&lt;&gt;"&amp;$B126)&gt;0),ИНФА!$F$31,0),0))</f>
        <v/>
      </c>
    </row>
    <row r="127" customFormat="false" ht="15" hidden="false" customHeight="false" outlineLevel="0" collapsed="false">
      <c r="A127" s="15" t="n">
        <v>123</v>
      </c>
      <c r="B127" s="44"/>
      <c r="C127" s="44"/>
      <c r="D127" s="44"/>
      <c r="E127" s="44"/>
      <c r="F127" s="43"/>
      <c r="G127" s="38" t="str">
        <f aca="false">IF($C127="","",IF($F127&lt;&gt;"",$F127,INDEX(ИНФА!$M$5:$M$19,MATCH($C127,ИНФА!$I$5:$I$19,0))))</f>
        <v/>
      </c>
      <c r="H127" s="43"/>
      <c r="I127" s="38" t="str">
        <f aca="false">IF($C127="","",G127-N(H127))</f>
        <v/>
      </c>
      <c r="J127" s="37" t="str">
        <f aca="false">IF($C127="","",INDEX(ИНФА!$J$5:$J$19,MATCH($C127,ИНФА!$I$5:$I$19,0)))</f>
        <v/>
      </c>
      <c r="K127" s="37" t="str">
        <f aca="false">IF($C127="","",INDEX(ИНФА!$K$5:$K$19,MATCH($C127,ИНФА!$I$5:$I$19,0)))</f>
        <v/>
      </c>
      <c r="L127" s="38" t="str">
        <f aca="false">IF($C127="","",INDEX(ИНФА!$O$5:$O$19,MATCH($C127,ИНФА!$I$5:$I$19,0)))</f>
        <v/>
      </c>
      <c r="M127" s="38" t="str">
        <f aca="false">IF($C127="","",INDEX(ИНФА!$P$5:$P$19,MATCH($C127,ИНФА!$I$5:$I$19,0)))</f>
        <v/>
      </c>
      <c r="N127" s="44"/>
      <c r="O127" s="48" t="n">
        <f aca="false">IF(OR($C127="",$N127=""),1,IF(AND($J127="Услуги",IFERROR(INDEX($C$5:$C$204,MATCH($N127,$A$5:$A$204,0))=INDEX(ИНФА!$L$5:$L$19,MATCH($C127,ИНФА!$I$5:$I$19,0)),FALSE()),IFERROR(INDEX($W$5:$W$204,MATCH($N127,$A$5:$A$204,0))=1,FALSE()),COUNTIF($N$5:$N127,$N127)&lt;=ИНФА!$F$16),1+ИНФА!$F$15,1))</f>
        <v>1</v>
      </c>
      <c r="P127" s="47" t="str">
        <f aca="false">IF($C127="","",IF($J127&lt;&gt;"Услуги","",IF($N127="","нет поставщика — нужен "&amp;INDEX(ИНФА!$L$5:$L$19,MATCH($C127,ИНФА!$I$5:$I$19,0)),IF($O127&gt;1,"✓ поставка работает (+50%)",IF(IFERROR(INDEX($C$5:$C$204,MATCH($N127,$A$5:$A$204,0))&lt;&gt;INDEX(ИНФА!$L$5:$L$19,MATCH($C127,ИНФА!$I$5:$I$19,0)),TRUE()),"не тот поставщик: нужен "&amp;INDEX(ИНФА!$L$5:$L$19,MATCH($C127,ИНФА!$I$5:$I$19,0)),IF(COUNTIF($N$5:$N127,$N127)&gt;ИНФА!$F$16,"поставщик перегружен","поставщик ещё не работает или продан"))))))</f>
        <v/>
      </c>
      <c r="Q127" s="44"/>
      <c r="R127" s="48" t="str">
        <f aca="false">IF($C127="","",IF($Q127="",1,IFERROR(INDEX(НАУКА!$K$5:$K$44,MATCH($Q127,НАУКА!$A$5:$A$44,0)),1)))</f>
        <v/>
      </c>
      <c r="S127" s="37" t="str">
        <f aca="false">IF($Q127="","",IFERROR(INDEX(НАУКА!$G$5:$G$44,MATCH($Q127,НАУКА!$A$5:$A$44,0)),""))</f>
        <v/>
      </c>
      <c r="T127" s="44"/>
      <c r="U127" s="44"/>
      <c r="V127" s="43"/>
      <c r="W127" s="37" t="n">
        <f aca="false">IF(OR($C127="",$D127=""),0,IF(AND($D127&lt;ИНФА!$F$5,OR($T127="",$T127&gt;=ИНФА!$F$5)),1,0))</f>
        <v>0</v>
      </c>
      <c r="X127" s="46" t="str">
        <f aca="false">IF($C127="","",INDEX(СОБЫТИЯ!$B$5:$K$8,MATCH($K127,СОБЫТИЯ!$A$5:$A$8,0),ИНФА!$F$5))</f>
        <v/>
      </c>
      <c r="Y127" s="42" t="str">
        <f aca="false">IF($C127="","",IF($W127=1,ROUND($L127*$O127*IF(AND($Q127&lt;&gt;"",$S127&lt;&gt;""),IF($S127&lt;ИНФА!$F$5,$R127,1),1)*$X127,0)-$M127+N($AF127)+N($AG127),0))</f>
        <v/>
      </c>
      <c r="Z127" s="38" t="str">
        <f aca="false">IF($C127="","",IF($T127="",INDEX(ИНФА!$M$5:$M$19,MATCH($C127,ИНФА!$I$5:$I$19,0)),0))</f>
        <v/>
      </c>
      <c r="AA127" s="38" t="str">
        <f aca="false">IF(OR($C127="",$T127=""),"",IF($V127&lt;&gt;"",$V127,INDEX(ИНФА!$N$5:$N$19,MATCH($C127,ИНФА!$I$5:$I$19,0))))</f>
        <v/>
      </c>
      <c r="AB127" s="37" t="str">
        <f aca="false">IF($C127="","",IF($T127&lt;&gt;"",IF($U127&lt;&gt;"","продано компании "&amp;$U127&amp;" в цикле "&amp;$T127,"продано Инфраструктуре в цикле "&amp;$T127),IF($D127&gt;=ИНФА!$F$5,"доход со следующего цикла","приносит доход")))</f>
        <v/>
      </c>
      <c r="AC127" s="47" t="str">
        <f aca="false">IF($C127="","",IF($F127="","",IF($E127="","укажите продавца; ",IF(OR($F127&lt;INDEX(ИНФА!$N$5:$N$19,MATCH($C127,ИНФА!$I$5:$I$19,0)),$F127&gt;INDEX(ИНФА!$M$5:$M$19,MATCH($C127,ИНФА!$I$5:$I$19,0))),"цена покупки вне коридора! ","")))&amp;IF($U127="","",IF(OR($V127="",$T127=""),"укажите цикл и цену продажи; ",IF(OR($V127&lt;INDEX(ИНФА!$N$5:$N$19,MATCH($C127,ИНФА!$I$5:$I$19,0)),$V127&gt;INDEX(ИНФА!$M$5:$M$19,MATCH($C127,ИНФА!$I$5:$I$19,0))),"цена продажи вне коридора! ","")))&amp;IF(AND($T127="",COUNTIFS($C$5:$C127,$C127,$T$5:$T127,"")&gt;INDEX(ИНФА!$Q$5:$Q$19,MATCH($C127,ИНФА!$I$5:$I$19,0))),"лотов нет! ","")&amp;IF(AND($E127&lt;&gt;"",$F127=""),"укажите цену сделки; ","")&amp;IF(AND(N($H127)&gt;0,OR($AD127="",$AD127="Профессия"),OR($H127&gt;ИНФА!$F$29,$I127&lt;INDEX(ИНФА!$N$5:$N$19,MATCH($C127,ИНФА!$I$5:$I$19,0))+ИНФА!$F$30)),"скидка больше лимита или цена ниже выкупа + 500! ","")&amp;IF($AE127="","",IF(IFERROR(INDEX($B$5:$B$204,MATCH($AE127,$A$5:$A$204,0))=$B127,TRUE()),"бизнес-пара — только со зданием другой компании; ",""))&amp;IF($Q127="","",IF(IFERROR(INDEX(НАУКА!$B$5:$B$44,MATCH($Q127,НАУКА!$A$5:$A$44,0))&lt;&gt;$B127,FALSE()),"патент другой компании — нужна лицензия или соглашение; ","")))</f>
        <v/>
      </c>
      <c r="AD127" s="44"/>
      <c r="AE127" s="44"/>
      <c r="AF127" s="38" t="str">
        <f aca="false">IF($C127="","",IF(AND($W127=1,OR($C127="Дом",$C127="Кафе")),ИНФА!$F$17*(COUNTIFS($B$5:$B127,$B127,$C$5:$C127,$C127,$W$5:$W127,1)&lt;=COUNTIFS($B$5:$B$204,$B127,$C$5:$C$204,"Парк",$W$5:$W$204,1)),0))</f>
        <v/>
      </c>
      <c r="AG127" s="38" t="str">
        <f aca="false">IF($C127="","",IF($W127=1,IF(OR(AND($AE127&lt;&gt;"",IFERROR(INDEX($W$5:$W$204,MATCH($AE127,$A$5:$A$204,0))=1,FALSE()),IFERROR(INDEX($B$5:$B$204,MATCH($AE127,$A$5:$A$204,0))&lt;&gt;$B127,FALSE())),COUNTIFS($AE$5:$AE$204,$A127,$W$5:$W$204,1,$B$5:$B$204,"&lt;&gt;"&amp;$B127)&gt;0),ИНФА!$F$31,0),0))</f>
        <v/>
      </c>
    </row>
    <row r="128" customFormat="false" ht="15" hidden="false" customHeight="false" outlineLevel="0" collapsed="false">
      <c r="A128" s="15" t="n">
        <v>124</v>
      </c>
      <c r="B128" s="44"/>
      <c r="C128" s="44"/>
      <c r="D128" s="44"/>
      <c r="E128" s="44"/>
      <c r="F128" s="43"/>
      <c r="G128" s="38" t="str">
        <f aca="false">IF($C128="","",IF($F128&lt;&gt;"",$F128,INDEX(ИНФА!$M$5:$M$19,MATCH($C128,ИНФА!$I$5:$I$19,0))))</f>
        <v/>
      </c>
      <c r="H128" s="43"/>
      <c r="I128" s="38" t="str">
        <f aca="false">IF($C128="","",G128-N(H128))</f>
        <v/>
      </c>
      <c r="J128" s="37" t="str">
        <f aca="false">IF($C128="","",INDEX(ИНФА!$J$5:$J$19,MATCH($C128,ИНФА!$I$5:$I$19,0)))</f>
        <v/>
      </c>
      <c r="K128" s="37" t="str">
        <f aca="false">IF($C128="","",INDEX(ИНФА!$K$5:$K$19,MATCH($C128,ИНФА!$I$5:$I$19,0)))</f>
        <v/>
      </c>
      <c r="L128" s="38" t="str">
        <f aca="false">IF($C128="","",INDEX(ИНФА!$O$5:$O$19,MATCH($C128,ИНФА!$I$5:$I$19,0)))</f>
        <v/>
      </c>
      <c r="M128" s="38" t="str">
        <f aca="false">IF($C128="","",INDEX(ИНФА!$P$5:$P$19,MATCH($C128,ИНФА!$I$5:$I$19,0)))</f>
        <v/>
      </c>
      <c r="N128" s="44"/>
      <c r="O128" s="48" t="n">
        <f aca="false">IF(OR($C128="",$N128=""),1,IF(AND($J128="Услуги",IFERROR(INDEX($C$5:$C$204,MATCH($N128,$A$5:$A$204,0))=INDEX(ИНФА!$L$5:$L$19,MATCH($C128,ИНФА!$I$5:$I$19,0)),FALSE()),IFERROR(INDEX($W$5:$W$204,MATCH($N128,$A$5:$A$204,0))=1,FALSE()),COUNTIF($N$5:$N128,$N128)&lt;=ИНФА!$F$16),1+ИНФА!$F$15,1))</f>
        <v>1</v>
      </c>
      <c r="P128" s="47" t="str">
        <f aca="false">IF($C128="","",IF($J128&lt;&gt;"Услуги","",IF($N128="","нет поставщика — нужен "&amp;INDEX(ИНФА!$L$5:$L$19,MATCH($C128,ИНФА!$I$5:$I$19,0)),IF($O128&gt;1,"✓ поставка работает (+50%)",IF(IFERROR(INDEX($C$5:$C$204,MATCH($N128,$A$5:$A$204,0))&lt;&gt;INDEX(ИНФА!$L$5:$L$19,MATCH($C128,ИНФА!$I$5:$I$19,0)),TRUE()),"не тот поставщик: нужен "&amp;INDEX(ИНФА!$L$5:$L$19,MATCH($C128,ИНФА!$I$5:$I$19,0)),IF(COUNTIF($N$5:$N128,$N128)&gt;ИНФА!$F$16,"поставщик перегружен","поставщик ещё не работает или продан"))))))</f>
        <v/>
      </c>
      <c r="Q128" s="44"/>
      <c r="R128" s="48" t="str">
        <f aca="false">IF($C128="","",IF($Q128="",1,IFERROR(INDEX(НАУКА!$K$5:$K$44,MATCH($Q128,НАУКА!$A$5:$A$44,0)),1)))</f>
        <v/>
      </c>
      <c r="S128" s="37" t="str">
        <f aca="false">IF($Q128="","",IFERROR(INDEX(НАУКА!$G$5:$G$44,MATCH($Q128,НАУКА!$A$5:$A$44,0)),""))</f>
        <v/>
      </c>
      <c r="T128" s="44"/>
      <c r="U128" s="44"/>
      <c r="V128" s="43"/>
      <c r="W128" s="37" t="n">
        <f aca="false">IF(OR($C128="",$D128=""),0,IF(AND($D128&lt;ИНФА!$F$5,OR($T128="",$T128&gt;=ИНФА!$F$5)),1,0))</f>
        <v>0</v>
      </c>
      <c r="X128" s="46" t="str">
        <f aca="false">IF($C128="","",INDEX(СОБЫТИЯ!$B$5:$K$8,MATCH($K128,СОБЫТИЯ!$A$5:$A$8,0),ИНФА!$F$5))</f>
        <v/>
      </c>
      <c r="Y128" s="42" t="str">
        <f aca="false">IF($C128="","",IF($W128=1,ROUND($L128*$O128*IF(AND($Q128&lt;&gt;"",$S128&lt;&gt;""),IF($S128&lt;ИНФА!$F$5,$R128,1),1)*$X128,0)-$M128+N($AF128)+N($AG128),0))</f>
        <v/>
      </c>
      <c r="Z128" s="38" t="str">
        <f aca="false">IF($C128="","",IF($T128="",INDEX(ИНФА!$M$5:$M$19,MATCH($C128,ИНФА!$I$5:$I$19,0)),0))</f>
        <v/>
      </c>
      <c r="AA128" s="38" t="str">
        <f aca="false">IF(OR($C128="",$T128=""),"",IF($V128&lt;&gt;"",$V128,INDEX(ИНФА!$N$5:$N$19,MATCH($C128,ИНФА!$I$5:$I$19,0))))</f>
        <v/>
      </c>
      <c r="AB128" s="37" t="str">
        <f aca="false">IF($C128="","",IF($T128&lt;&gt;"",IF($U128&lt;&gt;"","продано компании "&amp;$U128&amp;" в цикле "&amp;$T128,"продано Инфраструктуре в цикле "&amp;$T128),IF($D128&gt;=ИНФА!$F$5,"доход со следующего цикла","приносит доход")))</f>
        <v/>
      </c>
      <c r="AC128" s="47" t="str">
        <f aca="false">IF($C128="","",IF($F128="","",IF($E128="","укажите продавца; ",IF(OR($F128&lt;INDEX(ИНФА!$N$5:$N$19,MATCH($C128,ИНФА!$I$5:$I$19,0)),$F128&gt;INDEX(ИНФА!$M$5:$M$19,MATCH($C128,ИНФА!$I$5:$I$19,0))),"цена покупки вне коридора! ","")))&amp;IF($U128="","",IF(OR($V128="",$T128=""),"укажите цикл и цену продажи; ",IF(OR($V128&lt;INDEX(ИНФА!$N$5:$N$19,MATCH($C128,ИНФА!$I$5:$I$19,0)),$V128&gt;INDEX(ИНФА!$M$5:$M$19,MATCH($C128,ИНФА!$I$5:$I$19,0))),"цена продажи вне коридора! ","")))&amp;IF(AND($T128="",COUNTIFS($C$5:$C128,$C128,$T$5:$T128,"")&gt;INDEX(ИНФА!$Q$5:$Q$19,MATCH($C128,ИНФА!$I$5:$I$19,0))),"лотов нет! ","")&amp;IF(AND($E128&lt;&gt;"",$F128=""),"укажите цену сделки; ","")&amp;IF(AND(N($H128)&gt;0,OR($AD128="",$AD128="Профессия"),OR($H128&gt;ИНФА!$F$29,$I128&lt;INDEX(ИНФА!$N$5:$N$19,MATCH($C128,ИНФА!$I$5:$I$19,0))+ИНФА!$F$30)),"скидка больше лимита или цена ниже выкупа + 500! ","")&amp;IF($AE128="","",IF(IFERROR(INDEX($B$5:$B$204,MATCH($AE128,$A$5:$A$204,0))=$B128,TRUE()),"бизнес-пара — только со зданием другой компании; ",""))&amp;IF($Q128="","",IF(IFERROR(INDEX(НАУКА!$B$5:$B$44,MATCH($Q128,НАУКА!$A$5:$A$44,0))&lt;&gt;$B128,FALSE()),"патент другой компании — нужна лицензия или соглашение; ","")))</f>
        <v/>
      </c>
      <c r="AD128" s="44"/>
      <c r="AE128" s="44"/>
      <c r="AF128" s="38" t="str">
        <f aca="false">IF($C128="","",IF(AND($W128=1,OR($C128="Дом",$C128="Кафе")),ИНФА!$F$17*(COUNTIFS($B$5:$B128,$B128,$C$5:$C128,$C128,$W$5:$W128,1)&lt;=COUNTIFS($B$5:$B$204,$B128,$C$5:$C$204,"Парк",$W$5:$W$204,1)),0))</f>
        <v/>
      </c>
      <c r="AG128" s="38" t="str">
        <f aca="false">IF($C128="","",IF($W128=1,IF(OR(AND($AE128&lt;&gt;"",IFERROR(INDEX($W$5:$W$204,MATCH($AE128,$A$5:$A$204,0))=1,FALSE()),IFERROR(INDEX($B$5:$B$204,MATCH($AE128,$A$5:$A$204,0))&lt;&gt;$B128,FALSE())),COUNTIFS($AE$5:$AE$204,$A128,$W$5:$W$204,1,$B$5:$B$204,"&lt;&gt;"&amp;$B128)&gt;0),ИНФА!$F$31,0),0))</f>
        <v/>
      </c>
    </row>
    <row r="129" customFormat="false" ht="15" hidden="false" customHeight="false" outlineLevel="0" collapsed="false">
      <c r="A129" s="15" t="n">
        <v>125</v>
      </c>
      <c r="B129" s="44"/>
      <c r="C129" s="44"/>
      <c r="D129" s="44"/>
      <c r="E129" s="44"/>
      <c r="F129" s="43"/>
      <c r="G129" s="38" t="str">
        <f aca="false">IF($C129="","",IF($F129&lt;&gt;"",$F129,INDEX(ИНФА!$M$5:$M$19,MATCH($C129,ИНФА!$I$5:$I$19,0))))</f>
        <v/>
      </c>
      <c r="H129" s="43"/>
      <c r="I129" s="38" t="str">
        <f aca="false">IF($C129="","",G129-N(H129))</f>
        <v/>
      </c>
      <c r="J129" s="37" t="str">
        <f aca="false">IF($C129="","",INDEX(ИНФА!$J$5:$J$19,MATCH($C129,ИНФА!$I$5:$I$19,0)))</f>
        <v/>
      </c>
      <c r="K129" s="37" t="str">
        <f aca="false">IF($C129="","",INDEX(ИНФА!$K$5:$K$19,MATCH($C129,ИНФА!$I$5:$I$19,0)))</f>
        <v/>
      </c>
      <c r="L129" s="38" t="str">
        <f aca="false">IF($C129="","",INDEX(ИНФА!$O$5:$O$19,MATCH($C129,ИНФА!$I$5:$I$19,0)))</f>
        <v/>
      </c>
      <c r="M129" s="38" t="str">
        <f aca="false">IF($C129="","",INDEX(ИНФА!$P$5:$P$19,MATCH($C129,ИНФА!$I$5:$I$19,0)))</f>
        <v/>
      </c>
      <c r="N129" s="44"/>
      <c r="O129" s="48" t="n">
        <f aca="false">IF(OR($C129="",$N129=""),1,IF(AND($J129="Услуги",IFERROR(INDEX($C$5:$C$204,MATCH($N129,$A$5:$A$204,0))=INDEX(ИНФА!$L$5:$L$19,MATCH($C129,ИНФА!$I$5:$I$19,0)),FALSE()),IFERROR(INDEX($W$5:$W$204,MATCH($N129,$A$5:$A$204,0))=1,FALSE()),COUNTIF($N$5:$N129,$N129)&lt;=ИНФА!$F$16),1+ИНФА!$F$15,1))</f>
        <v>1</v>
      </c>
      <c r="P129" s="47" t="str">
        <f aca="false">IF($C129="","",IF($J129&lt;&gt;"Услуги","",IF($N129="","нет поставщика — нужен "&amp;INDEX(ИНФА!$L$5:$L$19,MATCH($C129,ИНФА!$I$5:$I$19,0)),IF($O129&gt;1,"✓ поставка работает (+50%)",IF(IFERROR(INDEX($C$5:$C$204,MATCH($N129,$A$5:$A$204,0))&lt;&gt;INDEX(ИНФА!$L$5:$L$19,MATCH($C129,ИНФА!$I$5:$I$19,0)),TRUE()),"не тот поставщик: нужен "&amp;INDEX(ИНФА!$L$5:$L$19,MATCH($C129,ИНФА!$I$5:$I$19,0)),IF(COUNTIF($N$5:$N129,$N129)&gt;ИНФА!$F$16,"поставщик перегружен","поставщик ещё не работает или продан"))))))</f>
        <v/>
      </c>
      <c r="Q129" s="44"/>
      <c r="R129" s="48" t="str">
        <f aca="false">IF($C129="","",IF($Q129="",1,IFERROR(INDEX(НАУКА!$K$5:$K$44,MATCH($Q129,НАУКА!$A$5:$A$44,0)),1)))</f>
        <v/>
      </c>
      <c r="S129" s="37" t="str">
        <f aca="false">IF($Q129="","",IFERROR(INDEX(НАУКА!$G$5:$G$44,MATCH($Q129,НАУКА!$A$5:$A$44,0)),""))</f>
        <v/>
      </c>
      <c r="T129" s="44"/>
      <c r="U129" s="44"/>
      <c r="V129" s="43"/>
      <c r="W129" s="37" t="n">
        <f aca="false">IF(OR($C129="",$D129=""),0,IF(AND($D129&lt;ИНФА!$F$5,OR($T129="",$T129&gt;=ИНФА!$F$5)),1,0))</f>
        <v>0</v>
      </c>
      <c r="X129" s="46" t="str">
        <f aca="false">IF($C129="","",INDEX(СОБЫТИЯ!$B$5:$K$8,MATCH($K129,СОБЫТИЯ!$A$5:$A$8,0),ИНФА!$F$5))</f>
        <v/>
      </c>
      <c r="Y129" s="42" t="str">
        <f aca="false">IF($C129="","",IF($W129=1,ROUND($L129*$O129*IF(AND($Q129&lt;&gt;"",$S129&lt;&gt;""),IF($S129&lt;ИНФА!$F$5,$R129,1),1)*$X129,0)-$M129+N($AF129)+N($AG129),0))</f>
        <v/>
      </c>
      <c r="Z129" s="38" t="str">
        <f aca="false">IF($C129="","",IF($T129="",INDEX(ИНФА!$M$5:$M$19,MATCH($C129,ИНФА!$I$5:$I$19,0)),0))</f>
        <v/>
      </c>
      <c r="AA129" s="38" t="str">
        <f aca="false">IF(OR($C129="",$T129=""),"",IF($V129&lt;&gt;"",$V129,INDEX(ИНФА!$N$5:$N$19,MATCH($C129,ИНФА!$I$5:$I$19,0))))</f>
        <v/>
      </c>
      <c r="AB129" s="37" t="str">
        <f aca="false">IF($C129="","",IF($T129&lt;&gt;"",IF($U129&lt;&gt;"","продано компании "&amp;$U129&amp;" в цикле "&amp;$T129,"продано Инфраструктуре в цикле "&amp;$T129),IF($D129&gt;=ИНФА!$F$5,"доход со следующего цикла","приносит доход")))</f>
        <v/>
      </c>
      <c r="AC129" s="47" t="str">
        <f aca="false">IF($C129="","",IF($F129="","",IF($E129="","укажите продавца; ",IF(OR($F129&lt;INDEX(ИНФА!$N$5:$N$19,MATCH($C129,ИНФА!$I$5:$I$19,0)),$F129&gt;INDEX(ИНФА!$M$5:$M$19,MATCH($C129,ИНФА!$I$5:$I$19,0))),"цена покупки вне коридора! ","")))&amp;IF($U129="","",IF(OR($V129="",$T129=""),"укажите цикл и цену продажи; ",IF(OR($V129&lt;INDEX(ИНФА!$N$5:$N$19,MATCH($C129,ИНФА!$I$5:$I$19,0)),$V129&gt;INDEX(ИНФА!$M$5:$M$19,MATCH($C129,ИНФА!$I$5:$I$19,0))),"цена продажи вне коридора! ","")))&amp;IF(AND($T129="",COUNTIFS($C$5:$C129,$C129,$T$5:$T129,"")&gt;INDEX(ИНФА!$Q$5:$Q$19,MATCH($C129,ИНФА!$I$5:$I$19,0))),"лотов нет! ","")&amp;IF(AND($E129&lt;&gt;"",$F129=""),"укажите цену сделки; ","")&amp;IF(AND(N($H129)&gt;0,OR($AD129="",$AD129="Профессия"),OR($H129&gt;ИНФА!$F$29,$I129&lt;INDEX(ИНФА!$N$5:$N$19,MATCH($C129,ИНФА!$I$5:$I$19,0))+ИНФА!$F$30)),"скидка больше лимита или цена ниже выкупа + 500! ","")&amp;IF($AE129="","",IF(IFERROR(INDEX($B$5:$B$204,MATCH($AE129,$A$5:$A$204,0))=$B129,TRUE()),"бизнес-пара — только со зданием другой компании; ",""))&amp;IF($Q129="","",IF(IFERROR(INDEX(НАУКА!$B$5:$B$44,MATCH($Q129,НАУКА!$A$5:$A$44,0))&lt;&gt;$B129,FALSE()),"патент другой компании — нужна лицензия или соглашение; ","")))</f>
        <v/>
      </c>
      <c r="AD129" s="44"/>
      <c r="AE129" s="44"/>
      <c r="AF129" s="38" t="str">
        <f aca="false">IF($C129="","",IF(AND($W129=1,OR($C129="Дом",$C129="Кафе")),ИНФА!$F$17*(COUNTIFS($B$5:$B129,$B129,$C$5:$C129,$C129,$W$5:$W129,1)&lt;=COUNTIFS($B$5:$B$204,$B129,$C$5:$C$204,"Парк",$W$5:$W$204,1)),0))</f>
        <v/>
      </c>
      <c r="AG129" s="38" t="str">
        <f aca="false">IF($C129="","",IF($W129=1,IF(OR(AND($AE129&lt;&gt;"",IFERROR(INDEX($W$5:$W$204,MATCH($AE129,$A$5:$A$204,0))=1,FALSE()),IFERROR(INDEX($B$5:$B$204,MATCH($AE129,$A$5:$A$204,0))&lt;&gt;$B129,FALSE())),COUNTIFS($AE$5:$AE$204,$A129,$W$5:$W$204,1,$B$5:$B$204,"&lt;&gt;"&amp;$B129)&gt;0),ИНФА!$F$31,0),0))</f>
        <v/>
      </c>
    </row>
    <row r="130" customFormat="false" ht="15" hidden="false" customHeight="false" outlineLevel="0" collapsed="false">
      <c r="A130" s="15" t="n">
        <v>126</v>
      </c>
      <c r="B130" s="44"/>
      <c r="C130" s="44"/>
      <c r="D130" s="44"/>
      <c r="E130" s="44"/>
      <c r="F130" s="43"/>
      <c r="G130" s="38" t="str">
        <f aca="false">IF($C130="","",IF($F130&lt;&gt;"",$F130,INDEX(ИНФА!$M$5:$M$19,MATCH($C130,ИНФА!$I$5:$I$19,0))))</f>
        <v/>
      </c>
      <c r="H130" s="43"/>
      <c r="I130" s="38" t="str">
        <f aca="false">IF($C130="","",G130-N(H130))</f>
        <v/>
      </c>
      <c r="J130" s="37" t="str">
        <f aca="false">IF($C130="","",INDEX(ИНФА!$J$5:$J$19,MATCH($C130,ИНФА!$I$5:$I$19,0)))</f>
        <v/>
      </c>
      <c r="K130" s="37" t="str">
        <f aca="false">IF($C130="","",INDEX(ИНФА!$K$5:$K$19,MATCH($C130,ИНФА!$I$5:$I$19,0)))</f>
        <v/>
      </c>
      <c r="L130" s="38" t="str">
        <f aca="false">IF($C130="","",INDEX(ИНФА!$O$5:$O$19,MATCH($C130,ИНФА!$I$5:$I$19,0)))</f>
        <v/>
      </c>
      <c r="M130" s="38" t="str">
        <f aca="false">IF($C130="","",INDEX(ИНФА!$P$5:$P$19,MATCH($C130,ИНФА!$I$5:$I$19,0)))</f>
        <v/>
      </c>
      <c r="N130" s="44"/>
      <c r="O130" s="48" t="n">
        <f aca="false">IF(OR($C130="",$N130=""),1,IF(AND($J130="Услуги",IFERROR(INDEX($C$5:$C$204,MATCH($N130,$A$5:$A$204,0))=INDEX(ИНФА!$L$5:$L$19,MATCH($C130,ИНФА!$I$5:$I$19,0)),FALSE()),IFERROR(INDEX($W$5:$W$204,MATCH($N130,$A$5:$A$204,0))=1,FALSE()),COUNTIF($N$5:$N130,$N130)&lt;=ИНФА!$F$16),1+ИНФА!$F$15,1))</f>
        <v>1</v>
      </c>
      <c r="P130" s="47" t="str">
        <f aca="false">IF($C130="","",IF($J130&lt;&gt;"Услуги","",IF($N130="","нет поставщика — нужен "&amp;INDEX(ИНФА!$L$5:$L$19,MATCH($C130,ИНФА!$I$5:$I$19,0)),IF($O130&gt;1,"✓ поставка работает (+50%)",IF(IFERROR(INDEX($C$5:$C$204,MATCH($N130,$A$5:$A$204,0))&lt;&gt;INDEX(ИНФА!$L$5:$L$19,MATCH($C130,ИНФА!$I$5:$I$19,0)),TRUE()),"не тот поставщик: нужен "&amp;INDEX(ИНФА!$L$5:$L$19,MATCH($C130,ИНФА!$I$5:$I$19,0)),IF(COUNTIF($N$5:$N130,$N130)&gt;ИНФА!$F$16,"поставщик перегружен","поставщик ещё не работает или продан"))))))</f>
        <v/>
      </c>
      <c r="Q130" s="44"/>
      <c r="R130" s="48" t="str">
        <f aca="false">IF($C130="","",IF($Q130="",1,IFERROR(INDEX(НАУКА!$K$5:$K$44,MATCH($Q130,НАУКА!$A$5:$A$44,0)),1)))</f>
        <v/>
      </c>
      <c r="S130" s="37" t="str">
        <f aca="false">IF($Q130="","",IFERROR(INDEX(НАУКА!$G$5:$G$44,MATCH($Q130,НАУКА!$A$5:$A$44,0)),""))</f>
        <v/>
      </c>
      <c r="T130" s="44"/>
      <c r="U130" s="44"/>
      <c r="V130" s="43"/>
      <c r="W130" s="37" t="n">
        <f aca="false">IF(OR($C130="",$D130=""),0,IF(AND($D130&lt;ИНФА!$F$5,OR($T130="",$T130&gt;=ИНФА!$F$5)),1,0))</f>
        <v>0</v>
      </c>
      <c r="X130" s="46" t="str">
        <f aca="false">IF($C130="","",INDEX(СОБЫТИЯ!$B$5:$K$8,MATCH($K130,СОБЫТИЯ!$A$5:$A$8,0),ИНФА!$F$5))</f>
        <v/>
      </c>
      <c r="Y130" s="42" t="str">
        <f aca="false">IF($C130="","",IF($W130=1,ROUND($L130*$O130*IF(AND($Q130&lt;&gt;"",$S130&lt;&gt;""),IF($S130&lt;ИНФА!$F$5,$R130,1),1)*$X130,0)-$M130+N($AF130)+N($AG130),0))</f>
        <v/>
      </c>
      <c r="Z130" s="38" t="str">
        <f aca="false">IF($C130="","",IF($T130="",INDEX(ИНФА!$M$5:$M$19,MATCH($C130,ИНФА!$I$5:$I$19,0)),0))</f>
        <v/>
      </c>
      <c r="AA130" s="38" t="str">
        <f aca="false">IF(OR($C130="",$T130=""),"",IF($V130&lt;&gt;"",$V130,INDEX(ИНФА!$N$5:$N$19,MATCH($C130,ИНФА!$I$5:$I$19,0))))</f>
        <v/>
      </c>
      <c r="AB130" s="37" t="str">
        <f aca="false">IF($C130="","",IF($T130&lt;&gt;"",IF($U130&lt;&gt;"","продано компании "&amp;$U130&amp;" в цикле "&amp;$T130,"продано Инфраструктуре в цикле "&amp;$T130),IF($D130&gt;=ИНФА!$F$5,"доход со следующего цикла","приносит доход")))</f>
        <v/>
      </c>
      <c r="AC130" s="47" t="str">
        <f aca="false">IF($C130="","",IF($F130="","",IF($E130="","укажите продавца; ",IF(OR($F130&lt;INDEX(ИНФА!$N$5:$N$19,MATCH($C130,ИНФА!$I$5:$I$19,0)),$F130&gt;INDEX(ИНФА!$M$5:$M$19,MATCH($C130,ИНФА!$I$5:$I$19,0))),"цена покупки вне коридора! ","")))&amp;IF($U130="","",IF(OR($V130="",$T130=""),"укажите цикл и цену продажи; ",IF(OR($V130&lt;INDEX(ИНФА!$N$5:$N$19,MATCH($C130,ИНФА!$I$5:$I$19,0)),$V130&gt;INDEX(ИНФА!$M$5:$M$19,MATCH($C130,ИНФА!$I$5:$I$19,0))),"цена продажи вне коридора! ","")))&amp;IF(AND($T130="",COUNTIFS($C$5:$C130,$C130,$T$5:$T130,"")&gt;INDEX(ИНФА!$Q$5:$Q$19,MATCH($C130,ИНФА!$I$5:$I$19,0))),"лотов нет! ","")&amp;IF(AND($E130&lt;&gt;"",$F130=""),"укажите цену сделки; ","")&amp;IF(AND(N($H130)&gt;0,OR($AD130="",$AD130="Профессия"),OR($H130&gt;ИНФА!$F$29,$I130&lt;INDEX(ИНФА!$N$5:$N$19,MATCH($C130,ИНФА!$I$5:$I$19,0))+ИНФА!$F$30)),"скидка больше лимита или цена ниже выкупа + 500! ","")&amp;IF($AE130="","",IF(IFERROR(INDEX($B$5:$B$204,MATCH($AE130,$A$5:$A$204,0))=$B130,TRUE()),"бизнес-пара — только со зданием другой компании; ",""))&amp;IF($Q130="","",IF(IFERROR(INDEX(НАУКА!$B$5:$B$44,MATCH($Q130,НАУКА!$A$5:$A$44,0))&lt;&gt;$B130,FALSE()),"патент другой компании — нужна лицензия или соглашение; ","")))</f>
        <v/>
      </c>
      <c r="AD130" s="44"/>
      <c r="AE130" s="44"/>
      <c r="AF130" s="38" t="str">
        <f aca="false">IF($C130="","",IF(AND($W130=1,OR($C130="Дом",$C130="Кафе")),ИНФА!$F$17*(COUNTIFS($B$5:$B130,$B130,$C$5:$C130,$C130,$W$5:$W130,1)&lt;=COUNTIFS($B$5:$B$204,$B130,$C$5:$C$204,"Парк",$W$5:$W$204,1)),0))</f>
        <v/>
      </c>
      <c r="AG130" s="38" t="str">
        <f aca="false">IF($C130="","",IF($W130=1,IF(OR(AND($AE130&lt;&gt;"",IFERROR(INDEX($W$5:$W$204,MATCH($AE130,$A$5:$A$204,0))=1,FALSE()),IFERROR(INDEX($B$5:$B$204,MATCH($AE130,$A$5:$A$204,0))&lt;&gt;$B130,FALSE())),COUNTIFS($AE$5:$AE$204,$A130,$W$5:$W$204,1,$B$5:$B$204,"&lt;&gt;"&amp;$B130)&gt;0),ИНФА!$F$31,0),0))</f>
        <v/>
      </c>
    </row>
    <row r="131" customFormat="false" ht="15" hidden="false" customHeight="false" outlineLevel="0" collapsed="false">
      <c r="A131" s="15" t="n">
        <v>127</v>
      </c>
      <c r="B131" s="44"/>
      <c r="C131" s="44"/>
      <c r="D131" s="44"/>
      <c r="E131" s="44"/>
      <c r="F131" s="43"/>
      <c r="G131" s="38" t="str">
        <f aca="false">IF($C131="","",IF($F131&lt;&gt;"",$F131,INDEX(ИНФА!$M$5:$M$19,MATCH($C131,ИНФА!$I$5:$I$19,0))))</f>
        <v/>
      </c>
      <c r="H131" s="43"/>
      <c r="I131" s="38" t="str">
        <f aca="false">IF($C131="","",G131-N(H131))</f>
        <v/>
      </c>
      <c r="J131" s="37" t="str">
        <f aca="false">IF($C131="","",INDEX(ИНФА!$J$5:$J$19,MATCH($C131,ИНФА!$I$5:$I$19,0)))</f>
        <v/>
      </c>
      <c r="K131" s="37" t="str">
        <f aca="false">IF($C131="","",INDEX(ИНФА!$K$5:$K$19,MATCH($C131,ИНФА!$I$5:$I$19,0)))</f>
        <v/>
      </c>
      <c r="L131" s="38" t="str">
        <f aca="false">IF($C131="","",INDEX(ИНФА!$O$5:$O$19,MATCH($C131,ИНФА!$I$5:$I$19,0)))</f>
        <v/>
      </c>
      <c r="M131" s="38" t="str">
        <f aca="false">IF($C131="","",INDEX(ИНФА!$P$5:$P$19,MATCH($C131,ИНФА!$I$5:$I$19,0)))</f>
        <v/>
      </c>
      <c r="N131" s="44"/>
      <c r="O131" s="48" t="n">
        <f aca="false">IF(OR($C131="",$N131=""),1,IF(AND($J131="Услуги",IFERROR(INDEX($C$5:$C$204,MATCH($N131,$A$5:$A$204,0))=INDEX(ИНФА!$L$5:$L$19,MATCH($C131,ИНФА!$I$5:$I$19,0)),FALSE()),IFERROR(INDEX($W$5:$W$204,MATCH($N131,$A$5:$A$204,0))=1,FALSE()),COUNTIF($N$5:$N131,$N131)&lt;=ИНФА!$F$16),1+ИНФА!$F$15,1))</f>
        <v>1</v>
      </c>
      <c r="P131" s="47" t="str">
        <f aca="false">IF($C131="","",IF($J131&lt;&gt;"Услуги","",IF($N131="","нет поставщика — нужен "&amp;INDEX(ИНФА!$L$5:$L$19,MATCH($C131,ИНФА!$I$5:$I$19,0)),IF($O131&gt;1,"✓ поставка работает (+50%)",IF(IFERROR(INDEX($C$5:$C$204,MATCH($N131,$A$5:$A$204,0))&lt;&gt;INDEX(ИНФА!$L$5:$L$19,MATCH($C131,ИНФА!$I$5:$I$19,0)),TRUE()),"не тот поставщик: нужен "&amp;INDEX(ИНФА!$L$5:$L$19,MATCH($C131,ИНФА!$I$5:$I$19,0)),IF(COUNTIF($N$5:$N131,$N131)&gt;ИНФА!$F$16,"поставщик перегружен","поставщик ещё не работает или продан"))))))</f>
        <v/>
      </c>
      <c r="Q131" s="44"/>
      <c r="R131" s="48" t="str">
        <f aca="false">IF($C131="","",IF($Q131="",1,IFERROR(INDEX(НАУКА!$K$5:$K$44,MATCH($Q131,НАУКА!$A$5:$A$44,0)),1)))</f>
        <v/>
      </c>
      <c r="S131" s="37" t="str">
        <f aca="false">IF($Q131="","",IFERROR(INDEX(НАУКА!$G$5:$G$44,MATCH($Q131,НАУКА!$A$5:$A$44,0)),""))</f>
        <v/>
      </c>
      <c r="T131" s="44"/>
      <c r="U131" s="44"/>
      <c r="V131" s="43"/>
      <c r="W131" s="37" t="n">
        <f aca="false">IF(OR($C131="",$D131=""),0,IF(AND($D131&lt;ИНФА!$F$5,OR($T131="",$T131&gt;=ИНФА!$F$5)),1,0))</f>
        <v>0</v>
      </c>
      <c r="X131" s="46" t="str">
        <f aca="false">IF($C131="","",INDEX(СОБЫТИЯ!$B$5:$K$8,MATCH($K131,СОБЫТИЯ!$A$5:$A$8,0),ИНФА!$F$5))</f>
        <v/>
      </c>
      <c r="Y131" s="42" t="str">
        <f aca="false">IF($C131="","",IF($W131=1,ROUND($L131*$O131*IF(AND($Q131&lt;&gt;"",$S131&lt;&gt;""),IF($S131&lt;ИНФА!$F$5,$R131,1),1)*$X131,0)-$M131+N($AF131)+N($AG131),0))</f>
        <v/>
      </c>
      <c r="Z131" s="38" t="str">
        <f aca="false">IF($C131="","",IF($T131="",INDEX(ИНФА!$M$5:$M$19,MATCH($C131,ИНФА!$I$5:$I$19,0)),0))</f>
        <v/>
      </c>
      <c r="AA131" s="38" t="str">
        <f aca="false">IF(OR($C131="",$T131=""),"",IF($V131&lt;&gt;"",$V131,INDEX(ИНФА!$N$5:$N$19,MATCH($C131,ИНФА!$I$5:$I$19,0))))</f>
        <v/>
      </c>
      <c r="AB131" s="37" t="str">
        <f aca="false">IF($C131="","",IF($T131&lt;&gt;"",IF($U131&lt;&gt;"","продано компании "&amp;$U131&amp;" в цикле "&amp;$T131,"продано Инфраструктуре в цикле "&amp;$T131),IF($D131&gt;=ИНФА!$F$5,"доход со следующего цикла","приносит доход")))</f>
        <v/>
      </c>
      <c r="AC131" s="47" t="str">
        <f aca="false">IF($C131="","",IF($F131="","",IF($E131="","укажите продавца; ",IF(OR($F131&lt;INDEX(ИНФА!$N$5:$N$19,MATCH($C131,ИНФА!$I$5:$I$19,0)),$F131&gt;INDEX(ИНФА!$M$5:$M$19,MATCH($C131,ИНФА!$I$5:$I$19,0))),"цена покупки вне коридора! ","")))&amp;IF($U131="","",IF(OR($V131="",$T131=""),"укажите цикл и цену продажи; ",IF(OR($V131&lt;INDEX(ИНФА!$N$5:$N$19,MATCH($C131,ИНФА!$I$5:$I$19,0)),$V131&gt;INDEX(ИНФА!$M$5:$M$19,MATCH($C131,ИНФА!$I$5:$I$19,0))),"цена продажи вне коридора! ","")))&amp;IF(AND($T131="",COUNTIFS($C$5:$C131,$C131,$T$5:$T131,"")&gt;INDEX(ИНФА!$Q$5:$Q$19,MATCH($C131,ИНФА!$I$5:$I$19,0))),"лотов нет! ","")&amp;IF(AND($E131&lt;&gt;"",$F131=""),"укажите цену сделки; ","")&amp;IF(AND(N($H131)&gt;0,OR($AD131="",$AD131="Профессия"),OR($H131&gt;ИНФА!$F$29,$I131&lt;INDEX(ИНФА!$N$5:$N$19,MATCH($C131,ИНФА!$I$5:$I$19,0))+ИНФА!$F$30)),"скидка больше лимита или цена ниже выкупа + 500! ","")&amp;IF($AE131="","",IF(IFERROR(INDEX($B$5:$B$204,MATCH($AE131,$A$5:$A$204,0))=$B131,TRUE()),"бизнес-пара — только со зданием другой компании; ",""))&amp;IF($Q131="","",IF(IFERROR(INDEX(НАУКА!$B$5:$B$44,MATCH($Q131,НАУКА!$A$5:$A$44,0))&lt;&gt;$B131,FALSE()),"патент другой компании — нужна лицензия или соглашение; ","")))</f>
        <v/>
      </c>
      <c r="AD131" s="44"/>
      <c r="AE131" s="44"/>
      <c r="AF131" s="38" t="str">
        <f aca="false">IF($C131="","",IF(AND($W131=1,OR($C131="Дом",$C131="Кафе")),ИНФА!$F$17*(COUNTIFS($B$5:$B131,$B131,$C$5:$C131,$C131,$W$5:$W131,1)&lt;=COUNTIFS($B$5:$B$204,$B131,$C$5:$C$204,"Парк",$W$5:$W$204,1)),0))</f>
        <v/>
      </c>
      <c r="AG131" s="38" t="str">
        <f aca="false">IF($C131="","",IF($W131=1,IF(OR(AND($AE131&lt;&gt;"",IFERROR(INDEX($W$5:$W$204,MATCH($AE131,$A$5:$A$204,0))=1,FALSE()),IFERROR(INDEX($B$5:$B$204,MATCH($AE131,$A$5:$A$204,0))&lt;&gt;$B131,FALSE())),COUNTIFS($AE$5:$AE$204,$A131,$W$5:$W$204,1,$B$5:$B$204,"&lt;&gt;"&amp;$B131)&gt;0),ИНФА!$F$31,0),0))</f>
        <v/>
      </c>
    </row>
    <row r="132" customFormat="false" ht="15" hidden="false" customHeight="false" outlineLevel="0" collapsed="false">
      <c r="A132" s="15" t="n">
        <v>128</v>
      </c>
      <c r="B132" s="44"/>
      <c r="C132" s="44"/>
      <c r="D132" s="44"/>
      <c r="E132" s="44"/>
      <c r="F132" s="43"/>
      <c r="G132" s="38" t="str">
        <f aca="false">IF($C132="","",IF($F132&lt;&gt;"",$F132,INDEX(ИНФА!$M$5:$M$19,MATCH($C132,ИНФА!$I$5:$I$19,0))))</f>
        <v/>
      </c>
      <c r="H132" s="43"/>
      <c r="I132" s="38" t="str">
        <f aca="false">IF($C132="","",G132-N(H132))</f>
        <v/>
      </c>
      <c r="J132" s="37" t="str">
        <f aca="false">IF($C132="","",INDEX(ИНФА!$J$5:$J$19,MATCH($C132,ИНФА!$I$5:$I$19,0)))</f>
        <v/>
      </c>
      <c r="K132" s="37" t="str">
        <f aca="false">IF($C132="","",INDEX(ИНФА!$K$5:$K$19,MATCH($C132,ИНФА!$I$5:$I$19,0)))</f>
        <v/>
      </c>
      <c r="L132" s="38" t="str">
        <f aca="false">IF($C132="","",INDEX(ИНФА!$O$5:$O$19,MATCH($C132,ИНФА!$I$5:$I$19,0)))</f>
        <v/>
      </c>
      <c r="M132" s="38" t="str">
        <f aca="false">IF($C132="","",INDEX(ИНФА!$P$5:$P$19,MATCH($C132,ИНФА!$I$5:$I$19,0)))</f>
        <v/>
      </c>
      <c r="N132" s="44"/>
      <c r="O132" s="48" t="n">
        <f aca="false">IF(OR($C132="",$N132=""),1,IF(AND($J132="Услуги",IFERROR(INDEX($C$5:$C$204,MATCH($N132,$A$5:$A$204,0))=INDEX(ИНФА!$L$5:$L$19,MATCH($C132,ИНФА!$I$5:$I$19,0)),FALSE()),IFERROR(INDEX($W$5:$W$204,MATCH($N132,$A$5:$A$204,0))=1,FALSE()),COUNTIF($N$5:$N132,$N132)&lt;=ИНФА!$F$16),1+ИНФА!$F$15,1))</f>
        <v>1</v>
      </c>
      <c r="P132" s="47" t="str">
        <f aca="false">IF($C132="","",IF($J132&lt;&gt;"Услуги","",IF($N132="","нет поставщика — нужен "&amp;INDEX(ИНФА!$L$5:$L$19,MATCH($C132,ИНФА!$I$5:$I$19,0)),IF($O132&gt;1,"✓ поставка работает (+50%)",IF(IFERROR(INDEX($C$5:$C$204,MATCH($N132,$A$5:$A$204,0))&lt;&gt;INDEX(ИНФА!$L$5:$L$19,MATCH($C132,ИНФА!$I$5:$I$19,0)),TRUE()),"не тот поставщик: нужен "&amp;INDEX(ИНФА!$L$5:$L$19,MATCH($C132,ИНФА!$I$5:$I$19,0)),IF(COUNTIF($N$5:$N132,$N132)&gt;ИНФА!$F$16,"поставщик перегружен","поставщик ещё не работает или продан"))))))</f>
        <v/>
      </c>
      <c r="Q132" s="44"/>
      <c r="R132" s="48" t="str">
        <f aca="false">IF($C132="","",IF($Q132="",1,IFERROR(INDEX(НАУКА!$K$5:$K$44,MATCH($Q132,НАУКА!$A$5:$A$44,0)),1)))</f>
        <v/>
      </c>
      <c r="S132" s="37" t="str">
        <f aca="false">IF($Q132="","",IFERROR(INDEX(НАУКА!$G$5:$G$44,MATCH($Q132,НАУКА!$A$5:$A$44,0)),""))</f>
        <v/>
      </c>
      <c r="T132" s="44"/>
      <c r="U132" s="44"/>
      <c r="V132" s="43"/>
      <c r="W132" s="37" t="n">
        <f aca="false">IF(OR($C132="",$D132=""),0,IF(AND($D132&lt;ИНФА!$F$5,OR($T132="",$T132&gt;=ИНФА!$F$5)),1,0))</f>
        <v>0</v>
      </c>
      <c r="X132" s="46" t="str">
        <f aca="false">IF($C132="","",INDEX(СОБЫТИЯ!$B$5:$K$8,MATCH($K132,СОБЫТИЯ!$A$5:$A$8,0),ИНФА!$F$5))</f>
        <v/>
      </c>
      <c r="Y132" s="42" t="str">
        <f aca="false">IF($C132="","",IF($W132=1,ROUND($L132*$O132*IF(AND($Q132&lt;&gt;"",$S132&lt;&gt;""),IF($S132&lt;ИНФА!$F$5,$R132,1),1)*$X132,0)-$M132+N($AF132)+N($AG132),0))</f>
        <v/>
      </c>
      <c r="Z132" s="38" t="str">
        <f aca="false">IF($C132="","",IF($T132="",INDEX(ИНФА!$M$5:$M$19,MATCH($C132,ИНФА!$I$5:$I$19,0)),0))</f>
        <v/>
      </c>
      <c r="AA132" s="38" t="str">
        <f aca="false">IF(OR($C132="",$T132=""),"",IF($V132&lt;&gt;"",$V132,INDEX(ИНФА!$N$5:$N$19,MATCH($C132,ИНФА!$I$5:$I$19,0))))</f>
        <v/>
      </c>
      <c r="AB132" s="37" t="str">
        <f aca="false">IF($C132="","",IF($T132&lt;&gt;"",IF($U132&lt;&gt;"","продано компании "&amp;$U132&amp;" в цикле "&amp;$T132,"продано Инфраструктуре в цикле "&amp;$T132),IF($D132&gt;=ИНФА!$F$5,"доход со следующего цикла","приносит доход")))</f>
        <v/>
      </c>
      <c r="AC132" s="47" t="str">
        <f aca="false">IF($C132="","",IF($F132="","",IF($E132="","укажите продавца; ",IF(OR($F132&lt;INDEX(ИНФА!$N$5:$N$19,MATCH($C132,ИНФА!$I$5:$I$19,0)),$F132&gt;INDEX(ИНФА!$M$5:$M$19,MATCH($C132,ИНФА!$I$5:$I$19,0))),"цена покупки вне коридора! ","")))&amp;IF($U132="","",IF(OR($V132="",$T132=""),"укажите цикл и цену продажи; ",IF(OR($V132&lt;INDEX(ИНФА!$N$5:$N$19,MATCH($C132,ИНФА!$I$5:$I$19,0)),$V132&gt;INDEX(ИНФА!$M$5:$M$19,MATCH($C132,ИНФА!$I$5:$I$19,0))),"цена продажи вне коридора! ","")))&amp;IF(AND($T132="",COUNTIFS($C$5:$C132,$C132,$T$5:$T132,"")&gt;INDEX(ИНФА!$Q$5:$Q$19,MATCH($C132,ИНФА!$I$5:$I$19,0))),"лотов нет! ","")&amp;IF(AND($E132&lt;&gt;"",$F132=""),"укажите цену сделки; ","")&amp;IF(AND(N($H132)&gt;0,OR($AD132="",$AD132="Профессия"),OR($H132&gt;ИНФА!$F$29,$I132&lt;INDEX(ИНФА!$N$5:$N$19,MATCH($C132,ИНФА!$I$5:$I$19,0))+ИНФА!$F$30)),"скидка больше лимита или цена ниже выкупа + 500! ","")&amp;IF($AE132="","",IF(IFERROR(INDEX($B$5:$B$204,MATCH($AE132,$A$5:$A$204,0))=$B132,TRUE()),"бизнес-пара — только со зданием другой компании; ",""))&amp;IF($Q132="","",IF(IFERROR(INDEX(НАУКА!$B$5:$B$44,MATCH($Q132,НАУКА!$A$5:$A$44,0))&lt;&gt;$B132,FALSE()),"патент другой компании — нужна лицензия или соглашение; ","")))</f>
        <v/>
      </c>
      <c r="AD132" s="44"/>
      <c r="AE132" s="44"/>
      <c r="AF132" s="38" t="str">
        <f aca="false">IF($C132="","",IF(AND($W132=1,OR($C132="Дом",$C132="Кафе")),ИНФА!$F$17*(COUNTIFS($B$5:$B132,$B132,$C$5:$C132,$C132,$W$5:$W132,1)&lt;=COUNTIFS($B$5:$B$204,$B132,$C$5:$C$204,"Парк",$W$5:$W$204,1)),0))</f>
        <v/>
      </c>
      <c r="AG132" s="38" t="str">
        <f aca="false">IF($C132="","",IF($W132=1,IF(OR(AND($AE132&lt;&gt;"",IFERROR(INDEX($W$5:$W$204,MATCH($AE132,$A$5:$A$204,0))=1,FALSE()),IFERROR(INDEX($B$5:$B$204,MATCH($AE132,$A$5:$A$204,0))&lt;&gt;$B132,FALSE())),COUNTIFS($AE$5:$AE$204,$A132,$W$5:$W$204,1,$B$5:$B$204,"&lt;&gt;"&amp;$B132)&gt;0),ИНФА!$F$31,0),0))</f>
        <v/>
      </c>
    </row>
    <row r="133" customFormat="false" ht="15" hidden="false" customHeight="false" outlineLevel="0" collapsed="false">
      <c r="A133" s="15" t="n">
        <v>129</v>
      </c>
      <c r="B133" s="44"/>
      <c r="C133" s="44"/>
      <c r="D133" s="44"/>
      <c r="E133" s="44"/>
      <c r="F133" s="43"/>
      <c r="G133" s="38" t="str">
        <f aca="false">IF($C133="","",IF($F133&lt;&gt;"",$F133,INDEX(ИНФА!$M$5:$M$19,MATCH($C133,ИНФА!$I$5:$I$19,0))))</f>
        <v/>
      </c>
      <c r="H133" s="43"/>
      <c r="I133" s="38" t="str">
        <f aca="false">IF($C133="","",G133-N(H133))</f>
        <v/>
      </c>
      <c r="J133" s="37" t="str">
        <f aca="false">IF($C133="","",INDEX(ИНФА!$J$5:$J$19,MATCH($C133,ИНФА!$I$5:$I$19,0)))</f>
        <v/>
      </c>
      <c r="K133" s="37" t="str">
        <f aca="false">IF($C133="","",INDEX(ИНФА!$K$5:$K$19,MATCH($C133,ИНФА!$I$5:$I$19,0)))</f>
        <v/>
      </c>
      <c r="L133" s="38" t="str">
        <f aca="false">IF($C133="","",INDEX(ИНФА!$O$5:$O$19,MATCH($C133,ИНФА!$I$5:$I$19,0)))</f>
        <v/>
      </c>
      <c r="M133" s="38" t="str">
        <f aca="false">IF($C133="","",INDEX(ИНФА!$P$5:$P$19,MATCH($C133,ИНФА!$I$5:$I$19,0)))</f>
        <v/>
      </c>
      <c r="N133" s="44"/>
      <c r="O133" s="48" t="n">
        <f aca="false">IF(OR($C133="",$N133=""),1,IF(AND($J133="Услуги",IFERROR(INDEX($C$5:$C$204,MATCH($N133,$A$5:$A$204,0))=INDEX(ИНФА!$L$5:$L$19,MATCH($C133,ИНФА!$I$5:$I$19,0)),FALSE()),IFERROR(INDEX($W$5:$W$204,MATCH($N133,$A$5:$A$204,0))=1,FALSE()),COUNTIF($N$5:$N133,$N133)&lt;=ИНФА!$F$16),1+ИНФА!$F$15,1))</f>
        <v>1</v>
      </c>
      <c r="P133" s="47" t="str">
        <f aca="false">IF($C133="","",IF($J133&lt;&gt;"Услуги","",IF($N133="","нет поставщика — нужен "&amp;INDEX(ИНФА!$L$5:$L$19,MATCH($C133,ИНФА!$I$5:$I$19,0)),IF($O133&gt;1,"✓ поставка работает (+50%)",IF(IFERROR(INDEX($C$5:$C$204,MATCH($N133,$A$5:$A$204,0))&lt;&gt;INDEX(ИНФА!$L$5:$L$19,MATCH($C133,ИНФА!$I$5:$I$19,0)),TRUE()),"не тот поставщик: нужен "&amp;INDEX(ИНФА!$L$5:$L$19,MATCH($C133,ИНФА!$I$5:$I$19,0)),IF(COUNTIF($N$5:$N133,$N133)&gt;ИНФА!$F$16,"поставщик перегружен","поставщик ещё не работает или продан"))))))</f>
        <v/>
      </c>
      <c r="Q133" s="44"/>
      <c r="R133" s="48" t="str">
        <f aca="false">IF($C133="","",IF($Q133="",1,IFERROR(INDEX(НАУКА!$K$5:$K$44,MATCH($Q133,НАУКА!$A$5:$A$44,0)),1)))</f>
        <v/>
      </c>
      <c r="S133" s="37" t="str">
        <f aca="false">IF($Q133="","",IFERROR(INDEX(НАУКА!$G$5:$G$44,MATCH($Q133,НАУКА!$A$5:$A$44,0)),""))</f>
        <v/>
      </c>
      <c r="T133" s="44"/>
      <c r="U133" s="44"/>
      <c r="V133" s="43"/>
      <c r="W133" s="37" t="n">
        <f aca="false">IF(OR($C133="",$D133=""),0,IF(AND($D133&lt;ИНФА!$F$5,OR($T133="",$T133&gt;=ИНФА!$F$5)),1,0))</f>
        <v>0</v>
      </c>
      <c r="X133" s="46" t="str">
        <f aca="false">IF($C133="","",INDEX(СОБЫТИЯ!$B$5:$K$8,MATCH($K133,СОБЫТИЯ!$A$5:$A$8,0),ИНФА!$F$5))</f>
        <v/>
      </c>
      <c r="Y133" s="42" t="str">
        <f aca="false">IF($C133="","",IF($W133=1,ROUND($L133*$O133*IF(AND($Q133&lt;&gt;"",$S133&lt;&gt;""),IF($S133&lt;ИНФА!$F$5,$R133,1),1)*$X133,0)-$M133+N($AF133)+N($AG133),0))</f>
        <v/>
      </c>
      <c r="Z133" s="38" t="str">
        <f aca="false">IF($C133="","",IF($T133="",INDEX(ИНФА!$M$5:$M$19,MATCH($C133,ИНФА!$I$5:$I$19,0)),0))</f>
        <v/>
      </c>
      <c r="AA133" s="38" t="str">
        <f aca="false">IF(OR($C133="",$T133=""),"",IF($V133&lt;&gt;"",$V133,INDEX(ИНФА!$N$5:$N$19,MATCH($C133,ИНФА!$I$5:$I$19,0))))</f>
        <v/>
      </c>
      <c r="AB133" s="37" t="str">
        <f aca="false">IF($C133="","",IF($T133&lt;&gt;"",IF($U133&lt;&gt;"","продано компании "&amp;$U133&amp;" в цикле "&amp;$T133,"продано Инфраструктуре в цикле "&amp;$T133),IF($D133&gt;=ИНФА!$F$5,"доход со следующего цикла","приносит доход")))</f>
        <v/>
      </c>
      <c r="AC133" s="47" t="str">
        <f aca="false">IF($C133="","",IF($F133="","",IF($E133="","укажите продавца; ",IF(OR($F133&lt;INDEX(ИНФА!$N$5:$N$19,MATCH($C133,ИНФА!$I$5:$I$19,0)),$F133&gt;INDEX(ИНФА!$M$5:$M$19,MATCH($C133,ИНФА!$I$5:$I$19,0))),"цена покупки вне коридора! ","")))&amp;IF($U133="","",IF(OR($V133="",$T133=""),"укажите цикл и цену продажи; ",IF(OR($V133&lt;INDEX(ИНФА!$N$5:$N$19,MATCH($C133,ИНФА!$I$5:$I$19,0)),$V133&gt;INDEX(ИНФА!$M$5:$M$19,MATCH($C133,ИНФА!$I$5:$I$19,0))),"цена продажи вне коридора! ","")))&amp;IF(AND($T133="",COUNTIFS($C$5:$C133,$C133,$T$5:$T133,"")&gt;INDEX(ИНФА!$Q$5:$Q$19,MATCH($C133,ИНФА!$I$5:$I$19,0))),"лотов нет! ","")&amp;IF(AND($E133&lt;&gt;"",$F133=""),"укажите цену сделки; ","")&amp;IF(AND(N($H133)&gt;0,OR($AD133="",$AD133="Профессия"),OR($H133&gt;ИНФА!$F$29,$I133&lt;INDEX(ИНФА!$N$5:$N$19,MATCH($C133,ИНФА!$I$5:$I$19,0))+ИНФА!$F$30)),"скидка больше лимита или цена ниже выкупа + 500! ","")&amp;IF($AE133="","",IF(IFERROR(INDEX($B$5:$B$204,MATCH($AE133,$A$5:$A$204,0))=$B133,TRUE()),"бизнес-пара — только со зданием другой компании; ",""))&amp;IF($Q133="","",IF(IFERROR(INDEX(НАУКА!$B$5:$B$44,MATCH($Q133,НАУКА!$A$5:$A$44,0))&lt;&gt;$B133,FALSE()),"патент другой компании — нужна лицензия или соглашение; ","")))</f>
        <v/>
      </c>
      <c r="AD133" s="44"/>
      <c r="AE133" s="44"/>
      <c r="AF133" s="38" t="str">
        <f aca="false">IF($C133="","",IF(AND($W133=1,OR($C133="Дом",$C133="Кафе")),ИНФА!$F$17*(COUNTIFS($B$5:$B133,$B133,$C$5:$C133,$C133,$W$5:$W133,1)&lt;=COUNTIFS($B$5:$B$204,$B133,$C$5:$C$204,"Парк",$W$5:$W$204,1)),0))</f>
        <v/>
      </c>
      <c r="AG133" s="38" t="str">
        <f aca="false">IF($C133="","",IF($W133=1,IF(OR(AND($AE133&lt;&gt;"",IFERROR(INDEX($W$5:$W$204,MATCH($AE133,$A$5:$A$204,0))=1,FALSE()),IFERROR(INDEX($B$5:$B$204,MATCH($AE133,$A$5:$A$204,0))&lt;&gt;$B133,FALSE())),COUNTIFS($AE$5:$AE$204,$A133,$W$5:$W$204,1,$B$5:$B$204,"&lt;&gt;"&amp;$B133)&gt;0),ИНФА!$F$31,0),0))</f>
        <v/>
      </c>
    </row>
    <row r="134" customFormat="false" ht="15" hidden="false" customHeight="false" outlineLevel="0" collapsed="false">
      <c r="A134" s="15" t="n">
        <v>130</v>
      </c>
      <c r="B134" s="44"/>
      <c r="C134" s="44"/>
      <c r="D134" s="44"/>
      <c r="E134" s="44"/>
      <c r="F134" s="43"/>
      <c r="G134" s="38" t="str">
        <f aca="false">IF($C134="","",IF($F134&lt;&gt;"",$F134,INDEX(ИНФА!$M$5:$M$19,MATCH($C134,ИНФА!$I$5:$I$19,0))))</f>
        <v/>
      </c>
      <c r="H134" s="43"/>
      <c r="I134" s="38" t="str">
        <f aca="false">IF($C134="","",G134-N(H134))</f>
        <v/>
      </c>
      <c r="J134" s="37" t="str">
        <f aca="false">IF($C134="","",INDEX(ИНФА!$J$5:$J$19,MATCH($C134,ИНФА!$I$5:$I$19,0)))</f>
        <v/>
      </c>
      <c r="K134" s="37" t="str">
        <f aca="false">IF($C134="","",INDEX(ИНФА!$K$5:$K$19,MATCH($C134,ИНФА!$I$5:$I$19,0)))</f>
        <v/>
      </c>
      <c r="L134" s="38" t="str">
        <f aca="false">IF($C134="","",INDEX(ИНФА!$O$5:$O$19,MATCH($C134,ИНФА!$I$5:$I$19,0)))</f>
        <v/>
      </c>
      <c r="M134" s="38" t="str">
        <f aca="false">IF($C134="","",INDEX(ИНФА!$P$5:$P$19,MATCH($C134,ИНФА!$I$5:$I$19,0)))</f>
        <v/>
      </c>
      <c r="N134" s="44"/>
      <c r="O134" s="48" t="n">
        <f aca="false">IF(OR($C134="",$N134=""),1,IF(AND($J134="Услуги",IFERROR(INDEX($C$5:$C$204,MATCH($N134,$A$5:$A$204,0))=INDEX(ИНФА!$L$5:$L$19,MATCH($C134,ИНФА!$I$5:$I$19,0)),FALSE()),IFERROR(INDEX($W$5:$W$204,MATCH($N134,$A$5:$A$204,0))=1,FALSE()),COUNTIF($N$5:$N134,$N134)&lt;=ИНФА!$F$16),1+ИНФА!$F$15,1))</f>
        <v>1</v>
      </c>
      <c r="P134" s="47" t="str">
        <f aca="false">IF($C134="","",IF($J134&lt;&gt;"Услуги","",IF($N134="","нет поставщика — нужен "&amp;INDEX(ИНФА!$L$5:$L$19,MATCH($C134,ИНФА!$I$5:$I$19,0)),IF($O134&gt;1,"✓ поставка работает (+50%)",IF(IFERROR(INDEX($C$5:$C$204,MATCH($N134,$A$5:$A$204,0))&lt;&gt;INDEX(ИНФА!$L$5:$L$19,MATCH($C134,ИНФА!$I$5:$I$19,0)),TRUE()),"не тот поставщик: нужен "&amp;INDEX(ИНФА!$L$5:$L$19,MATCH($C134,ИНФА!$I$5:$I$19,0)),IF(COUNTIF($N$5:$N134,$N134)&gt;ИНФА!$F$16,"поставщик перегружен","поставщик ещё не работает или продан"))))))</f>
        <v/>
      </c>
      <c r="Q134" s="44"/>
      <c r="R134" s="48" t="str">
        <f aca="false">IF($C134="","",IF($Q134="",1,IFERROR(INDEX(НАУКА!$K$5:$K$44,MATCH($Q134,НАУКА!$A$5:$A$44,0)),1)))</f>
        <v/>
      </c>
      <c r="S134" s="37" t="str">
        <f aca="false">IF($Q134="","",IFERROR(INDEX(НАУКА!$G$5:$G$44,MATCH($Q134,НАУКА!$A$5:$A$44,0)),""))</f>
        <v/>
      </c>
      <c r="T134" s="44"/>
      <c r="U134" s="44"/>
      <c r="V134" s="43"/>
      <c r="W134" s="37" t="n">
        <f aca="false">IF(OR($C134="",$D134=""),0,IF(AND($D134&lt;ИНФА!$F$5,OR($T134="",$T134&gt;=ИНФА!$F$5)),1,0))</f>
        <v>0</v>
      </c>
      <c r="X134" s="46" t="str">
        <f aca="false">IF($C134="","",INDEX(СОБЫТИЯ!$B$5:$K$8,MATCH($K134,СОБЫТИЯ!$A$5:$A$8,0),ИНФА!$F$5))</f>
        <v/>
      </c>
      <c r="Y134" s="42" t="str">
        <f aca="false">IF($C134="","",IF($W134=1,ROUND($L134*$O134*IF(AND($Q134&lt;&gt;"",$S134&lt;&gt;""),IF($S134&lt;ИНФА!$F$5,$R134,1),1)*$X134,0)-$M134+N($AF134)+N($AG134),0))</f>
        <v/>
      </c>
      <c r="Z134" s="38" t="str">
        <f aca="false">IF($C134="","",IF($T134="",INDEX(ИНФА!$M$5:$M$19,MATCH($C134,ИНФА!$I$5:$I$19,0)),0))</f>
        <v/>
      </c>
      <c r="AA134" s="38" t="str">
        <f aca="false">IF(OR($C134="",$T134=""),"",IF($V134&lt;&gt;"",$V134,INDEX(ИНФА!$N$5:$N$19,MATCH($C134,ИНФА!$I$5:$I$19,0))))</f>
        <v/>
      </c>
      <c r="AB134" s="37" t="str">
        <f aca="false">IF($C134="","",IF($T134&lt;&gt;"",IF($U134&lt;&gt;"","продано компании "&amp;$U134&amp;" в цикле "&amp;$T134,"продано Инфраструктуре в цикле "&amp;$T134),IF($D134&gt;=ИНФА!$F$5,"доход со следующего цикла","приносит доход")))</f>
        <v/>
      </c>
      <c r="AC134" s="47" t="str">
        <f aca="false">IF($C134="","",IF($F134="","",IF($E134="","укажите продавца; ",IF(OR($F134&lt;INDEX(ИНФА!$N$5:$N$19,MATCH($C134,ИНФА!$I$5:$I$19,0)),$F134&gt;INDEX(ИНФА!$M$5:$M$19,MATCH($C134,ИНФА!$I$5:$I$19,0))),"цена покупки вне коридора! ","")))&amp;IF($U134="","",IF(OR($V134="",$T134=""),"укажите цикл и цену продажи; ",IF(OR($V134&lt;INDEX(ИНФА!$N$5:$N$19,MATCH($C134,ИНФА!$I$5:$I$19,0)),$V134&gt;INDEX(ИНФА!$M$5:$M$19,MATCH($C134,ИНФА!$I$5:$I$19,0))),"цена продажи вне коридора! ","")))&amp;IF(AND($T134="",COUNTIFS($C$5:$C134,$C134,$T$5:$T134,"")&gt;INDEX(ИНФА!$Q$5:$Q$19,MATCH($C134,ИНФА!$I$5:$I$19,0))),"лотов нет! ","")&amp;IF(AND($E134&lt;&gt;"",$F134=""),"укажите цену сделки; ","")&amp;IF(AND(N($H134)&gt;0,OR($AD134="",$AD134="Профессия"),OR($H134&gt;ИНФА!$F$29,$I134&lt;INDEX(ИНФА!$N$5:$N$19,MATCH($C134,ИНФА!$I$5:$I$19,0))+ИНФА!$F$30)),"скидка больше лимита или цена ниже выкупа + 500! ","")&amp;IF($AE134="","",IF(IFERROR(INDEX($B$5:$B$204,MATCH($AE134,$A$5:$A$204,0))=$B134,TRUE()),"бизнес-пара — только со зданием другой компании; ",""))&amp;IF($Q134="","",IF(IFERROR(INDEX(НАУКА!$B$5:$B$44,MATCH($Q134,НАУКА!$A$5:$A$44,0))&lt;&gt;$B134,FALSE()),"патент другой компании — нужна лицензия или соглашение; ","")))</f>
        <v/>
      </c>
      <c r="AD134" s="44"/>
      <c r="AE134" s="44"/>
      <c r="AF134" s="38" t="str">
        <f aca="false">IF($C134="","",IF(AND($W134=1,OR($C134="Дом",$C134="Кафе")),ИНФА!$F$17*(COUNTIFS($B$5:$B134,$B134,$C$5:$C134,$C134,$W$5:$W134,1)&lt;=COUNTIFS($B$5:$B$204,$B134,$C$5:$C$204,"Парк",$W$5:$W$204,1)),0))</f>
        <v/>
      </c>
      <c r="AG134" s="38" t="str">
        <f aca="false">IF($C134="","",IF($W134=1,IF(OR(AND($AE134&lt;&gt;"",IFERROR(INDEX($W$5:$W$204,MATCH($AE134,$A$5:$A$204,0))=1,FALSE()),IFERROR(INDEX($B$5:$B$204,MATCH($AE134,$A$5:$A$204,0))&lt;&gt;$B134,FALSE())),COUNTIFS($AE$5:$AE$204,$A134,$W$5:$W$204,1,$B$5:$B$204,"&lt;&gt;"&amp;$B134)&gt;0),ИНФА!$F$31,0),0))</f>
        <v/>
      </c>
    </row>
    <row r="135" customFormat="false" ht="15" hidden="false" customHeight="false" outlineLevel="0" collapsed="false">
      <c r="A135" s="15" t="n">
        <v>131</v>
      </c>
      <c r="B135" s="44"/>
      <c r="C135" s="44"/>
      <c r="D135" s="44"/>
      <c r="E135" s="44"/>
      <c r="F135" s="43"/>
      <c r="G135" s="38" t="str">
        <f aca="false">IF($C135="","",IF($F135&lt;&gt;"",$F135,INDEX(ИНФА!$M$5:$M$19,MATCH($C135,ИНФА!$I$5:$I$19,0))))</f>
        <v/>
      </c>
      <c r="H135" s="43"/>
      <c r="I135" s="38" t="str">
        <f aca="false">IF($C135="","",G135-N(H135))</f>
        <v/>
      </c>
      <c r="J135" s="37" t="str">
        <f aca="false">IF($C135="","",INDEX(ИНФА!$J$5:$J$19,MATCH($C135,ИНФА!$I$5:$I$19,0)))</f>
        <v/>
      </c>
      <c r="K135" s="37" t="str">
        <f aca="false">IF($C135="","",INDEX(ИНФА!$K$5:$K$19,MATCH($C135,ИНФА!$I$5:$I$19,0)))</f>
        <v/>
      </c>
      <c r="L135" s="38" t="str">
        <f aca="false">IF($C135="","",INDEX(ИНФА!$O$5:$O$19,MATCH($C135,ИНФА!$I$5:$I$19,0)))</f>
        <v/>
      </c>
      <c r="M135" s="38" t="str">
        <f aca="false">IF($C135="","",INDEX(ИНФА!$P$5:$P$19,MATCH($C135,ИНФА!$I$5:$I$19,0)))</f>
        <v/>
      </c>
      <c r="N135" s="44"/>
      <c r="O135" s="48" t="n">
        <f aca="false">IF(OR($C135="",$N135=""),1,IF(AND($J135="Услуги",IFERROR(INDEX($C$5:$C$204,MATCH($N135,$A$5:$A$204,0))=INDEX(ИНФА!$L$5:$L$19,MATCH($C135,ИНФА!$I$5:$I$19,0)),FALSE()),IFERROR(INDEX($W$5:$W$204,MATCH($N135,$A$5:$A$204,0))=1,FALSE()),COUNTIF($N$5:$N135,$N135)&lt;=ИНФА!$F$16),1+ИНФА!$F$15,1))</f>
        <v>1</v>
      </c>
      <c r="P135" s="47" t="str">
        <f aca="false">IF($C135="","",IF($J135&lt;&gt;"Услуги","",IF($N135="","нет поставщика — нужен "&amp;INDEX(ИНФА!$L$5:$L$19,MATCH($C135,ИНФА!$I$5:$I$19,0)),IF($O135&gt;1,"✓ поставка работает (+50%)",IF(IFERROR(INDEX($C$5:$C$204,MATCH($N135,$A$5:$A$204,0))&lt;&gt;INDEX(ИНФА!$L$5:$L$19,MATCH($C135,ИНФА!$I$5:$I$19,0)),TRUE()),"не тот поставщик: нужен "&amp;INDEX(ИНФА!$L$5:$L$19,MATCH($C135,ИНФА!$I$5:$I$19,0)),IF(COUNTIF($N$5:$N135,$N135)&gt;ИНФА!$F$16,"поставщик перегружен","поставщик ещё не работает или продан"))))))</f>
        <v/>
      </c>
      <c r="Q135" s="44"/>
      <c r="R135" s="48" t="str">
        <f aca="false">IF($C135="","",IF($Q135="",1,IFERROR(INDEX(НАУКА!$K$5:$K$44,MATCH($Q135,НАУКА!$A$5:$A$44,0)),1)))</f>
        <v/>
      </c>
      <c r="S135" s="37" t="str">
        <f aca="false">IF($Q135="","",IFERROR(INDEX(НАУКА!$G$5:$G$44,MATCH($Q135,НАУКА!$A$5:$A$44,0)),""))</f>
        <v/>
      </c>
      <c r="T135" s="44"/>
      <c r="U135" s="44"/>
      <c r="V135" s="43"/>
      <c r="W135" s="37" t="n">
        <f aca="false">IF(OR($C135="",$D135=""),0,IF(AND($D135&lt;ИНФА!$F$5,OR($T135="",$T135&gt;=ИНФА!$F$5)),1,0))</f>
        <v>0</v>
      </c>
      <c r="X135" s="46" t="str">
        <f aca="false">IF($C135="","",INDEX(СОБЫТИЯ!$B$5:$K$8,MATCH($K135,СОБЫТИЯ!$A$5:$A$8,0),ИНФА!$F$5))</f>
        <v/>
      </c>
      <c r="Y135" s="42" t="str">
        <f aca="false">IF($C135="","",IF($W135=1,ROUND($L135*$O135*IF(AND($Q135&lt;&gt;"",$S135&lt;&gt;""),IF($S135&lt;ИНФА!$F$5,$R135,1),1)*$X135,0)-$M135+N($AF135)+N($AG135),0))</f>
        <v/>
      </c>
      <c r="Z135" s="38" t="str">
        <f aca="false">IF($C135="","",IF($T135="",INDEX(ИНФА!$M$5:$M$19,MATCH($C135,ИНФА!$I$5:$I$19,0)),0))</f>
        <v/>
      </c>
      <c r="AA135" s="38" t="str">
        <f aca="false">IF(OR($C135="",$T135=""),"",IF($V135&lt;&gt;"",$V135,INDEX(ИНФА!$N$5:$N$19,MATCH($C135,ИНФА!$I$5:$I$19,0))))</f>
        <v/>
      </c>
      <c r="AB135" s="37" t="str">
        <f aca="false">IF($C135="","",IF($T135&lt;&gt;"",IF($U135&lt;&gt;"","продано компании "&amp;$U135&amp;" в цикле "&amp;$T135,"продано Инфраструктуре в цикле "&amp;$T135),IF($D135&gt;=ИНФА!$F$5,"доход со следующего цикла","приносит доход")))</f>
        <v/>
      </c>
      <c r="AC135" s="47" t="str">
        <f aca="false">IF($C135="","",IF($F135="","",IF($E135="","укажите продавца; ",IF(OR($F135&lt;INDEX(ИНФА!$N$5:$N$19,MATCH($C135,ИНФА!$I$5:$I$19,0)),$F135&gt;INDEX(ИНФА!$M$5:$M$19,MATCH($C135,ИНФА!$I$5:$I$19,0))),"цена покупки вне коридора! ","")))&amp;IF($U135="","",IF(OR($V135="",$T135=""),"укажите цикл и цену продажи; ",IF(OR($V135&lt;INDEX(ИНФА!$N$5:$N$19,MATCH($C135,ИНФА!$I$5:$I$19,0)),$V135&gt;INDEX(ИНФА!$M$5:$M$19,MATCH($C135,ИНФА!$I$5:$I$19,0))),"цена продажи вне коридора! ","")))&amp;IF(AND($T135="",COUNTIFS($C$5:$C135,$C135,$T$5:$T135,"")&gt;INDEX(ИНФА!$Q$5:$Q$19,MATCH($C135,ИНФА!$I$5:$I$19,0))),"лотов нет! ","")&amp;IF(AND($E135&lt;&gt;"",$F135=""),"укажите цену сделки; ","")&amp;IF(AND(N($H135)&gt;0,OR($AD135="",$AD135="Профессия"),OR($H135&gt;ИНФА!$F$29,$I135&lt;INDEX(ИНФА!$N$5:$N$19,MATCH($C135,ИНФА!$I$5:$I$19,0))+ИНФА!$F$30)),"скидка больше лимита или цена ниже выкупа + 500! ","")&amp;IF($AE135="","",IF(IFERROR(INDEX($B$5:$B$204,MATCH($AE135,$A$5:$A$204,0))=$B135,TRUE()),"бизнес-пара — только со зданием другой компании; ",""))&amp;IF($Q135="","",IF(IFERROR(INDEX(НАУКА!$B$5:$B$44,MATCH($Q135,НАУКА!$A$5:$A$44,0))&lt;&gt;$B135,FALSE()),"патент другой компании — нужна лицензия или соглашение; ","")))</f>
        <v/>
      </c>
      <c r="AD135" s="44"/>
      <c r="AE135" s="44"/>
      <c r="AF135" s="38" t="str">
        <f aca="false">IF($C135="","",IF(AND($W135=1,OR($C135="Дом",$C135="Кафе")),ИНФА!$F$17*(COUNTIFS($B$5:$B135,$B135,$C$5:$C135,$C135,$W$5:$W135,1)&lt;=COUNTIFS($B$5:$B$204,$B135,$C$5:$C$204,"Парк",$W$5:$W$204,1)),0))</f>
        <v/>
      </c>
      <c r="AG135" s="38" t="str">
        <f aca="false">IF($C135="","",IF($W135=1,IF(OR(AND($AE135&lt;&gt;"",IFERROR(INDEX($W$5:$W$204,MATCH($AE135,$A$5:$A$204,0))=1,FALSE()),IFERROR(INDEX($B$5:$B$204,MATCH($AE135,$A$5:$A$204,0))&lt;&gt;$B135,FALSE())),COUNTIFS($AE$5:$AE$204,$A135,$W$5:$W$204,1,$B$5:$B$204,"&lt;&gt;"&amp;$B135)&gt;0),ИНФА!$F$31,0),0))</f>
        <v/>
      </c>
    </row>
    <row r="136" customFormat="false" ht="15" hidden="false" customHeight="false" outlineLevel="0" collapsed="false">
      <c r="A136" s="15" t="n">
        <v>132</v>
      </c>
      <c r="B136" s="44"/>
      <c r="C136" s="44"/>
      <c r="D136" s="44"/>
      <c r="E136" s="44"/>
      <c r="F136" s="43"/>
      <c r="G136" s="38" t="str">
        <f aca="false">IF($C136="","",IF($F136&lt;&gt;"",$F136,INDEX(ИНФА!$M$5:$M$19,MATCH($C136,ИНФА!$I$5:$I$19,0))))</f>
        <v/>
      </c>
      <c r="H136" s="43"/>
      <c r="I136" s="38" t="str">
        <f aca="false">IF($C136="","",G136-N(H136))</f>
        <v/>
      </c>
      <c r="J136" s="37" t="str">
        <f aca="false">IF($C136="","",INDEX(ИНФА!$J$5:$J$19,MATCH($C136,ИНФА!$I$5:$I$19,0)))</f>
        <v/>
      </c>
      <c r="K136" s="37" t="str">
        <f aca="false">IF($C136="","",INDEX(ИНФА!$K$5:$K$19,MATCH($C136,ИНФА!$I$5:$I$19,0)))</f>
        <v/>
      </c>
      <c r="L136" s="38" t="str">
        <f aca="false">IF($C136="","",INDEX(ИНФА!$O$5:$O$19,MATCH($C136,ИНФА!$I$5:$I$19,0)))</f>
        <v/>
      </c>
      <c r="M136" s="38" t="str">
        <f aca="false">IF($C136="","",INDEX(ИНФА!$P$5:$P$19,MATCH($C136,ИНФА!$I$5:$I$19,0)))</f>
        <v/>
      </c>
      <c r="N136" s="44"/>
      <c r="O136" s="48" t="n">
        <f aca="false">IF(OR($C136="",$N136=""),1,IF(AND($J136="Услуги",IFERROR(INDEX($C$5:$C$204,MATCH($N136,$A$5:$A$204,0))=INDEX(ИНФА!$L$5:$L$19,MATCH($C136,ИНФА!$I$5:$I$19,0)),FALSE()),IFERROR(INDEX($W$5:$W$204,MATCH($N136,$A$5:$A$204,0))=1,FALSE()),COUNTIF($N$5:$N136,$N136)&lt;=ИНФА!$F$16),1+ИНФА!$F$15,1))</f>
        <v>1</v>
      </c>
      <c r="P136" s="47" t="str">
        <f aca="false">IF($C136="","",IF($J136&lt;&gt;"Услуги","",IF($N136="","нет поставщика — нужен "&amp;INDEX(ИНФА!$L$5:$L$19,MATCH($C136,ИНФА!$I$5:$I$19,0)),IF($O136&gt;1,"✓ поставка работает (+50%)",IF(IFERROR(INDEX($C$5:$C$204,MATCH($N136,$A$5:$A$204,0))&lt;&gt;INDEX(ИНФА!$L$5:$L$19,MATCH($C136,ИНФА!$I$5:$I$19,0)),TRUE()),"не тот поставщик: нужен "&amp;INDEX(ИНФА!$L$5:$L$19,MATCH($C136,ИНФА!$I$5:$I$19,0)),IF(COUNTIF($N$5:$N136,$N136)&gt;ИНФА!$F$16,"поставщик перегружен","поставщик ещё не работает или продан"))))))</f>
        <v/>
      </c>
      <c r="Q136" s="44"/>
      <c r="R136" s="48" t="str">
        <f aca="false">IF($C136="","",IF($Q136="",1,IFERROR(INDEX(НАУКА!$K$5:$K$44,MATCH($Q136,НАУКА!$A$5:$A$44,0)),1)))</f>
        <v/>
      </c>
      <c r="S136" s="37" t="str">
        <f aca="false">IF($Q136="","",IFERROR(INDEX(НАУКА!$G$5:$G$44,MATCH($Q136,НАУКА!$A$5:$A$44,0)),""))</f>
        <v/>
      </c>
      <c r="T136" s="44"/>
      <c r="U136" s="44"/>
      <c r="V136" s="43"/>
      <c r="W136" s="37" t="n">
        <f aca="false">IF(OR($C136="",$D136=""),0,IF(AND($D136&lt;ИНФА!$F$5,OR($T136="",$T136&gt;=ИНФА!$F$5)),1,0))</f>
        <v>0</v>
      </c>
      <c r="X136" s="46" t="str">
        <f aca="false">IF($C136="","",INDEX(СОБЫТИЯ!$B$5:$K$8,MATCH($K136,СОБЫТИЯ!$A$5:$A$8,0),ИНФА!$F$5))</f>
        <v/>
      </c>
      <c r="Y136" s="42" t="str">
        <f aca="false">IF($C136="","",IF($W136=1,ROUND($L136*$O136*IF(AND($Q136&lt;&gt;"",$S136&lt;&gt;""),IF($S136&lt;ИНФА!$F$5,$R136,1),1)*$X136,0)-$M136+N($AF136)+N($AG136),0))</f>
        <v/>
      </c>
      <c r="Z136" s="38" t="str">
        <f aca="false">IF($C136="","",IF($T136="",INDEX(ИНФА!$M$5:$M$19,MATCH($C136,ИНФА!$I$5:$I$19,0)),0))</f>
        <v/>
      </c>
      <c r="AA136" s="38" t="str">
        <f aca="false">IF(OR($C136="",$T136=""),"",IF($V136&lt;&gt;"",$V136,INDEX(ИНФА!$N$5:$N$19,MATCH($C136,ИНФА!$I$5:$I$19,0))))</f>
        <v/>
      </c>
      <c r="AB136" s="37" t="str">
        <f aca="false">IF($C136="","",IF($T136&lt;&gt;"",IF($U136&lt;&gt;"","продано компании "&amp;$U136&amp;" в цикле "&amp;$T136,"продано Инфраструктуре в цикле "&amp;$T136),IF($D136&gt;=ИНФА!$F$5,"доход со следующего цикла","приносит доход")))</f>
        <v/>
      </c>
      <c r="AC136" s="47" t="str">
        <f aca="false">IF($C136="","",IF($F136="","",IF($E136="","укажите продавца; ",IF(OR($F136&lt;INDEX(ИНФА!$N$5:$N$19,MATCH($C136,ИНФА!$I$5:$I$19,0)),$F136&gt;INDEX(ИНФА!$M$5:$M$19,MATCH($C136,ИНФА!$I$5:$I$19,0))),"цена покупки вне коридора! ","")))&amp;IF($U136="","",IF(OR($V136="",$T136=""),"укажите цикл и цену продажи; ",IF(OR($V136&lt;INDEX(ИНФА!$N$5:$N$19,MATCH($C136,ИНФА!$I$5:$I$19,0)),$V136&gt;INDEX(ИНФА!$M$5:$M$19,MATCH($C136,ИНФА!$I$5:$I$19,0))),"цена продажи вне коридора! ","")))&amp;IF(AND($T136="",COUNTIFS($C$5:$C136,$C136,$T$5:$T136,"")&gt;INDEX(ИНФА!$Q$5:$Q$19,MATCH($C136,ИНФА!$I$5:$I$19,0))),"лотов нет! ","")&amp;IF(AND($E136&lt;&gt;"",$F136=""),"укажите цену сделки; ","")&amp;IF(AND(N($H136)&gt;0,OR($AD136="",$AD136="Профессия"),OR($H136&gt;ИНФА!$F$29,$I136&lt;INDEX(ИНФА!$N$5:$N$19,MATCH($C136,ИНФА!$I$5:$I$19,0))+ИНФА!$F$30)),"скидка больше лимита или цена ниже выкупа + 500! ","")&amp;IF($AE136="","",IF(IFERROR(INDEX($B$5:$B$204,MATCH($AE136,$A$5:$A$204,0))=$B136,TRUE()),"бизнес-пара — только со зданием другой компании; ",""))&amp;IF($Q136="","",IF(IFERROR(INDEX(НАУКА!$B$5:$B$44,MATCH($Q136,НАУКА!$A$5:$A$44,0))&lt;&gt;$B136,FALSE()),"патент другой компании — нужна лицензия или соглашение; ","")))</f>
        <v/>
      </c>
      <c r="AD136" s="44"/>
      <c r="AE136" s="44"/>
      <c r="AF136" s="38" t="str">
        <f aca="false">IF($C136="","",IF(AND($W136=1,OR($C136="Дом",$C136="Кафе")),ИНФА!$F$17*(COUNTIFS($B$5:$B136,$B136,$C$5:$C136,$C136,$W$5:$W136,1)&lt;=COUNTIFS($B$5:$B$204,$B136,$C$5:$C$204,"Парк",$W$5:$W$204,1)),0))</f>
        <v/>
      </c>
      <c r="AG136" s="38" t="str">
        <f aca="false">IF($C136="","",IF($W136=1,IF(OR(AND($AE136&lt;&gt;"",IFERROR(INDEX($W$5:$W$204,MATCH($AE136,$A$5:$A$204,0))=1,FALSE()),IFERROR(INDEX($B$5:$B$204,MATCH($AE136,$A$5:$A$204,0))&lt;&gt;$B136,FALSE())),COUNTIFS($AE$5:$AE$204,$A136,$W$5:$W$204,1,$B$5:$B$204,"&lt;&gt;"&amp;$B136)&gt;0),ИНФА!$F$31,0),0))</f>
        <v/>
      </c>
    </row>
    <row r="137" customFormat="false" ht="15" hidden="false" customHeight="false" outlineLevel="0" collapsed="false">
      <c r="A137" s="15" t="n">
        <v>133</v>
      </c>
      <c r="B137" s="44"/>
      <c r="C137" s="44"/>
      <c r="D137" s="44"/>
      <c r="E137" s="44"/>
      <c r="F137" s="43"/>
      <c r="G137" s="38" t="str">
        <f aca="false">IF($C137="","",IF($F137&lt;&gt;"",$F137,INDEX(ИНФА!$M$5:$M$19,MATCH($C137,ИНФА!$I$5:$I$19,0))))</f>
        <v/>
      </c>
      <c r="H137" s="43"/>
      <c r="I137" s="38" t="str">
        <f aca="false">IF($C137="","",G137-N(H137))</f>
        <v/>
      </c>
      <c r="J137" s="37" t="str">
        <f aca="false">IF($C137="","",INDEX(ИНФА!$J$5:$J$19,MATCH($C137,ИНФА!$I$5:$I$19,0)))</f>
        <v/>
      </c>
      <c r="K137" s="37" t="str">
        <f aca="false">IF($C137="","",INDEX(ИНФА!$K$5:$K$19,MATCH($C137,ИНФА!$I$5:$I$19,0)))</f>
        <v/>
      </c>
      <c r="L137" s="38" t="str">
        <f aca="false">IF($C137="","",INDEX(ИНФА!$O$5:$O$19,MATCH($C137,ИНФА!$I$5:$I$19,0)))</f>
        <v/>
      </c>
      <c r="M137" s="38" t="str">
        <f aca="false">IF($C137="","",INDEX(ИНФА!$P$5:$P$19,MATCH($C137,ИНФА!$I$5:$I$19,0)))</f>
        <v/>
      </c>
      <c r="N137" s="44"/>
      <c r="O137" s="48" t="n">
        <f aca="false">IF(OR($C137="",$N137=""),1,IF(AND($J137="Услуги",IFERROR(INDEX($C$5:$C$204,MATCH($N137,$A$5:$A$204,0))=INDEX(ИНФА!$L$5:$L$19,MATCH($C137,ИНФА!$I$5:$I$19,0)),FALSE()),IFERROR(INDEX($W$5:$W$204,MATCH($N137,$A$5:$A$204,0))=1,FALSE()),COUNTIF($N$5:$N137,$N137)&lt;=ИНФА!$F$16),1+ИНФА!$F$15,1))</f>
        <v>1</v>
      </c>
      <c r="P137" s="47" t="str">
        <f aca="false">IF($C137="","",IF($J137&lt;&gt;"Услуги","",IF($N137="","нет поставщика — нужен "&amp;INDEX(ИНФА!$L$5:$L$19,MATCH($C137,ИНФА!$I$5:$I$19,0)),IF($O137&gt;1,"✓ поставка работает (+50%)",IF(IFERROR(INDEX($C$5:$C$204,MATCH($N137,$A$5:$A$204,0))&lt;&gt;INDEX(ИНФА!$L$5:$L$19,MATCH($C137,ИНФА!$I$5:$I$19,0)),TRUE()),"не тот поставщик: нужен "&amp;INDEX(ИНФА!$L$5:$L$19,MATCH($C137,ИНФА!$I$5:$I$19,0)),IF(COUNTIF($N$5:$N137,$N137)&gt;ИНФА!$F$16,"поставщик перегружен","поставщик ещё не работает или продан"))))))</f>
        <v/>
      </c>
      <c r="Q137" s="44"/>
      <c r="R137" s="48" t="str">
        <f aca="false">IF($C137="","",IF($Q137="",1,IFERROR(INDEX(НАУКА!$K$5:$K$44,MATCH($Q137,НАУКА!$A$5:$A$44,0)),1)))</f>
        <v/>
      </c>
      <c r="S137" s="37" t="str">
        <f aca="false">IF($Q137="","",IFERROR(INDEX(НАУКА!$G$5:$G$44,MATCH($Q137,НАУКА!$A$5:$A$44,0)),""))</f>
        <v/>
      </c>
      <c r="T137" s="44"/>
      <c r="U137" s="44"/>
      <c r="V137" s="43"/>
      <c r="W137" s="37" t="n">
        <f aca="false">IF(OR($C137="",$D137=""),0,IF(AND($D137&lt;ИНФА!$F$5,OR($T137="",$T137&gt;=ИНФА!$F$5)),1,0))</f>
        <v>0</v>
      </c>
      <c r="X137" s="46" t="str">
        <f aca="false">IF($C137="","",INDEX(СОБЫТИЯ!$B$5:$K$8,MATCH($K137,СОБЫТИЯ!$A$5:$A$8,0),ИНФА!$F$5))</f>
        <v/>
      </c>
      <c r="Y137" s="42" t="str">
        <f aca="false">IF($C137="","",IF($W137=1,ROUND($L137*$O137*IF(AND($Q137&lt;&gt;"",$S137&lt;&gt;""),IF($S137&lt;ИНФА!$F$5,$R137,1),1)*$X137,0)-$M137+N($AF137)+N($AG137),0))</f>
        <v/>
      </c>
      <c r="Z137" s="38" t="str">
        <f aca="false">IF($C137="","",IF($T137="",INDEX(ИНФА!$M$5:$M$19,MATCH($C137,ИНФА!$I$5:$I$19,0)),0))</f>
        <v/>
      </c>
      <c r="AA137" s="38" t="str">
        <f aca="false">IF(OR($C137="",$T137=""),"",IF($V137&lt;&gt;"",$V137,INDEX(ИНФА!$N$5:$N$19,MATCH($C137,ИНФА!$I$5:$I$19,0))))</f>
        <v/>
      </c>
      <c r="AB137" s="37" t="str">
        <f aca="false">IF($C137="","",IF($T137&lt;&gt;"",IF($U137&lt;&gt;"","продано компании "&amp;$U137&amp;" в цикле "&amp;$T137,"продано Инфраструктуре в цикле "&amp;$T137),IF($D137&gt;=ИНФА!$F$5,"доход со следующего цикла","приносит доход")))</f>
        <v/>
      </c>
      <c r="AC137" s="47" t="str">
        <f aca="false">IF($C137="","",IF($F137="","",IF($E137="","укажите продавца; ",IF(OR($F137&lt;INDEX(ИНФА!$N$5:$N$19,MATCH($C137,ИНФА!$I$5:$I$19,0)),$F137&gt;INDEX(ИНФА!$M$5:$M$19,MATCH($C137,ИНФА!$I$5:$I$19,0))),"цена покупки вне коридора! ","")))&amp;IF($U137="","",IF(OR($V137="",$T137=""),"укажите цикл и цену продажи; ",IF(OR($V137&lt;INDEX(ИНФА!$N$5:$N$19,MATCH($C137,ИНФА!$I$5:$I$19,0)),$V137&gt;INDEX(ИНФА!$M$5:$M$19,MATCH($C137,ИНФА!$I$5:$I$19,0))),"цена продажи вне коридора! ","")))&amp;IF(AND($T137="",COUNTIFS($C$5:$C137,$C137,$T$5:$T137,"")&gt;INDEX(ИНФА!$Q$5:$Q$19,MATCH($C137,ИНФА!$I$5:$I$19,0))),"лотов нет! ","")&amp;IF(AND($E137&lt;&gt;"",$F137=""),"укажите цену сделки; ","")&amp;IF(AND(N($H137)&gt;0,OR($AD137="",$AD137="Профессия"),OR($H137&gt;ИНФА!$F$29,$I137&lt;INDEX(ИНФА!$N$5:$N$19,MATCH($C137,ИНФА!$I$5:$I$19,0))+ИНФА!$F$30)),"скидка больше лимита или цена ниже выкупа + 500! ","")&amp;IF($AE137="","",IF(IFERROR(INDEX($B$5:$B$204,MATCH($AE137,$A$5:$A$204,0))=$B137,TRUE()),"бизнес-пара — только со зданием другой компании; ",""))&amp;IF($Q137="","",IF(IFERROR(INDEX(НАУКА!$B$5:$B$44,MATCH($Q137,НАУКА!$A$5:$A$44,0))&lt;&gt;$B137,FALSE()),"патент другой компании — нужна лицензия или соглашение; ","")))</f>
        <v/>
      </c>
      <c r="AD137" s="44"/>
      <c r="AE137" s="44"/>
      <c r="AF137" s="38" t="str">
        <f aca="false">IF($C137="","",IF(AND($W137=1,OR($C137="Дом",$C137="Кафе")),ИНФА!$F$17*(COUNTIFS($B$5:$B137,$B137,$C$5:$C137,$C137,$W$5:$W137,1)&lt;=COUNTIFS($B$5:$B$204,$B137,$C$5:$C$204,"Парк",$W$5:$W$204,1)),0))</f>
        <v/>
      </c>
      <c r="AG137" s="38" t="str">
        <f aca="false">IF($C137="","",IF($W137=1,IF(OR(AND($AE137&lt;&gt;"",IFERROR(INDEX($W$5:$W$204,MATCH($AE137,$A$5:$A$204,0))=1,FALSE()),IFERROR(INDEX($B$5:$B$204,MATCH($AE137,$A$5:$A$204,0))&lt;&gt;$B137,FALSE())),COUNTIFS($AE$5:$AE$204,$A137,$W$5:$W$204,1,$B$5:$B$204,"&lt;&gt;"&amp;$B137)&gt;0),ИНФА!$F$31,0),0))</f>
        <v/>
      </c>
    </row>
    <row r="138" customFormat="false" ht="15" hidden="false" customHeight="false" outlineLevel="0" collapsed="false">
      <c r="A138" s="15" t="n">
        <v>134</v>
      </c>
      <c r="B138" s="44"/>
      <c r="C138" s="44"/>
      <c r="D138" s="44"/>
      <c r="E138" s="44"/>
      <c r="F138" s="43"/>
      <c r="G138" s="38" t="str">
        <f aca="false">IF($C138="","",IF($F138&lt;&gt;"",$F138,INDEX(ИНФА!$M$5:$M$19,MATCH($C138,ИНФА!$I$5:$I$19,0))))</f>
        <v/>
      </c>
      <c r="H138" s="43"/>
      <c r="I138" s="38" t="str">
        <f aca="false">IF($C138="","",G138-N(H138))</f>
        <v/>
      </c>
      <c r="J138" s="37" t="str">
        <f aca="false">IF($C138="","",INDEX(ИНФА!$J$5:$J$19,MATCH($C138,ИНФА!$I$5:$I$19,0)))</f>
        <v/>
      </c>
      <c r="K138" s="37" t="str">
        <f aca="false">IF($C138="","",INDEX(ИНФА!$K$5:$K$19,MATCH($C138,ИНФА!$I$5:$I$19,0)))</f>
        <v/>
      </c>
      <c r="L138" s="38" t="str">
        <f aca="false">IF($C138="","",INDEX(ИНФА!$O$5:$O$19,MATCH($C138,ИНФА!$I$5:$I$19,0)))</f>
        <v/>
      </c>
      <c r="M138" s="38" t="str">
        <f aca="false">IF($C138="","",INDEX(ИНФА!$P$5:$P$19,MATCH($C138,ИНФА!$I$5:$I$19,0)))</f>
        <v/>
      </c>
      <c r="N138" s="44"/>
      <c r="O138" s="48" t="n">
        <f aca="false">IF(OR($C138="",$N138=""),1,IF(AND($J138="Услуги",IFERROR(INDEX($C$5:$C$204,MATCH($N138,$A$5:$A$204,0))=INDEX(ИНФА!$L$5:$L$19,MATCH($C138,ИНФА!$I$5:$I$19,0)),FALSE()),IFERROR(INDEX($W$5:$W$204,MATCH($N138,$A$5:$A$204,0))=1,FALSE()),COUNTIF($N$5:$N138,$N138)&lt;=ИНФА!$F$16),1+ИНФА!$F$15,1))</f>
        <v>1</v>
      </c>
      <c r="P138" s="47" t="str">
        <f aca="false">IF($C138="","",IF($J138&lt;&gt;"Услуги","",IF($N138="","нет поставщика — нужен "&amp;INDEX(ИНФА!$L$5:$L$19,MATCH($C138,ИНФА!$I$5:$I$19,0)),IF($O138&gt;1,"✓ поставка работает (+50%)",IF(IFERROR(INDEX($C$5:$C$204,MATCH($N138,$A$5:$A$204,0))&lt;&gt;INDEX(ИНФА!$L$5:$L$19,MATCH($C138,ИНФА!$I$5:$I$19,0)),TRUE()),"не тот поставщик: нужен "&amp;INDEX(ИНФА!$L$5:$L$19,MATCH($C138,ИНФА!$I$5:$I$19,0)),IF(COUNTIF($N$5:$N138,$N138)&gt;ИНФА!$F$16,"поставщик перегружен","поставщик ещё не работает или продан"))))))</f>
        <v/>
      </c>
      <c r="Q138" s="44"/>
      <c r="R138" s="48" t="str">
        <f aca="false">IF($C138="","",IF($Q138="",1,IFERROR(INDEX(НАУКА!$K$5:$K$44,MATCH($Q138,НАУКА!$A$5:$A$44,0)),1)))</f>
        <v/>
      </c>
      <c r="S138" s="37" t="str">
        <f aca="false">IF($Q138="","",IFERROR(INDEX(НАУКА!$G$5:$G$44,MATCH($Q138,НАУКА!$A$5:$A$44,0)),""))</f>
        <v/>
      </c>
      <c r="T138" s="44"/>
      <c r="U138" s="44"/>
      <c r="V138" s="43"/>
      <c r="W138" s="37" t="n">
        <f aca="false">IF(OR($C138="",$D138=""),0,IF(AND($D138&lt;ИНФА!$F$5,OR($T138="",$T138&gt;=ИНФА!$F$5)),1,0))</f>
        <v>0</v>
      </c>
      <c r="X138" s="46" t="str">
        <f aca="false">IF($C138="","",INDEX(СОБЫТИЯ!$B$5:$K$8,MATCH($K138,СОБЫТИЯ!$A$5:$A$8,0),ИНФА!$F$5))</f>
        <v/>
      </c>
      <c r="Y138" s="42" t="str">
        <f aca="false">IF($C138="","",IF($W138=1,ROUND($L138*$O138*IF(AND($Q138&lt;&gt;"",$S138&lt;&gt;""),IF($S138&lt;ИНФА!$F$5,$R138,1),1)*$X138,0)-$M138+N($AF138)+N($AG138),0))</f>
        <v/>
      </c>
      <c r="Z138" s="38" t="str">
        <f aca="false">IF($C138="","",IF($T138="",INDEX(ИНФА!$M$5:$M$19,MATCH($C138,ИНФА!$I$5:$I$19,0)),0))</f>
        <v/>
      </c>
      <c r="AA138" s="38" t="str">
        <f aca="false">IF(OR($C138="",$T138=""),"",IF($V138&lt;&gt;"",$V138,INDEX(ИНФА!$N$5:$N$19,MATCH($C138,ИНФА!$I$5:$I$19,0))))</f>
        <v/>
      </c>
      <c r="AB138" s="37" t="str">
        <f aca="false">IF($C138="","",IF($T138&lt;&gt;"",IF($U138&lt;&gt;"","продано компании "&amp;$U138&amp;" в цикле "&amp;$T138,"продано Инфраструктуре в цикле "&amp;$T138),IF($D138&gt;=ИНФА!$F$5,"доход со следующего цикла","приносит доход")))</f>
        <v/>
      </c>
      <c r="AC138" s="47" t="str">
        <f aca="false">IF($C138="","",IF($F138="","",IF($E138="","укажите продавца; ",IF(OR($F138&lt;INDEX(ИНФА!$N$5:$N$19,MATCH($C138,ИНФА!$I$5:$I$19,0)),$F138&gt;INDEX(ИНФА!$M$5:$M$19,MATCH($C138,ИНФА!$I$5:$I$19,0))),"цена покупки вне коридора! ","")))&amp;IF($U138="","",IF(OR($V138="",$T138=""),"укажите цикл и цену продажи; ",IF(OR($V138&lt;INDEX(ИНФА!$N$5:$N$19,MATCH($C138,ИНФА!$I$5:$I$19,0)),$V138&gt;INDEX(ИНФА!$M$5:$M$19,MATCH($C138,ИНФА!$I$5:$I$19,0))),"цена продажи вне коридора! ","")))&amp;IF(AND($T138="",COUNTIFS($C$5:$C138,$C138,$T$5:$T138,"")&gt;INDEX(ИНФА!$Q$5:$Q$19,MATCH($C138,ИНФА!$I$5:$I$19,0))),"лотов нет! ","")&amp;IF(AND($E138&lt;&gt;"",$F138=""),"укажите цену сделки; ","")&amp;IF(AND(N($H138)&gt;0,OR($AD138="",$AD138="Профессия"),OR($H138&gt;ИНФА!$F$29,$I138&lt;INDEX(ИНФА!$N$5:$N$19,MATCH($C138,ИНФА!$I$5:$I$19,0))+ИНФА!$F$30)),"скидка больше лимита или цена ниже выкупа + 500! ","")&amp;IF($AE138="","",IF(IFERROR(INDEX($B$5:$B$204,MATCH($AE138,$A$5:$A$204,0))=$B138,TRUE()),"бизнес-пара — только со зданием другой компании; ",""))&amp;IF($Q138="","",IF(IFERROR(INDEX(НАУКА!$B$5:$B$44,MATCH($Q138,НАУКА!$A$5:$A$44,0))&lt;&gt;$B138,FALSE()),"патент другой компании — нужна лицензия или соглашение; ","")))</f>
        <v/>
      </c>
      <c r="AD138" s="44"/>
      <c r="AE138" s="44"/>
      <c r="AF138" s="38" t="str">
        <f aca="false">IF($C138="","",IF(AND($W138=1,OR($C138="Дом",$C138="Кафе")),ИНФА!$F$17*(COUNTIFS($B$5:$B138,$B138,$C$5:$C138,$C138,$W$5:$W138,1)&lt;=COUNTIFS($B$5:$B$204,$B138,$C$5:$C$204,"Парк",$W$5:$W$204,1)),0))</f>
        <v/>
      </c>
      <c r="AG138" s="38" t="str">
        <f aca="false">IF($C138="","",IF($W138=1,IF(OR(AND($AE138&lt;&gt;"",IFERROR(INDEX($W$5:$W$204,MATCH($AE138,$A$5:$A$204,0))=1,FALSE()),IFERROR(INDEX($B$5:$B$204,MATCH($AE138,$A$5:$A$204,0))&lt;&gt;$B138,FALSE())),COUNTIFS($AE$5:$AE$204,$A138,$W$5:$W$204,1,$B$5:$B$204,"&lt;&gt;"&amp;$B138)&gt;0),ИНФА!$F$31,0),0))</f>
        <v/>
      </c>
    </row>
    <row r="139" customFormat="false" ht="15" hidden="false" customHeight="false" outlineLevel="0" collapsed="false">
      <c r="A139" s="15" t="n">
        <v>135</v>
      </c>
      <c r="B139" s="44"/>
      <c r="C139" s="44"/>
      <c r="D139" s="44"/>
      <c r="E139" s="44"/>
      <c r="F139" s="43"/>
      <c r="G139" s="38" t="str">
        <f aca="false">IF($C139="","",IF($F139&lt;&gt;"",$F139,INDEX(ИНФА!$M$5:$M$19,MATCH($C139,ИНФА!$I$5:$I$19,0))))</f>
        <v/>
      </c>
      <c r="H139" s="43"/>
      <c r="I139" s="38" t="str">
        <f aca="false">IF($C139="","",G139-N(H139))</f>
        <v/>
      </c>
      <c r="J139" s="37" t="str">
        <f aca="false">IF($C139="","",INDEX(ИНФА!$J$5:$J$19,MATCH($C139,ИНФА!$I$5:$I$19,0)))</f>
        <v/>
      </c>
      <c r="K139" s="37" t="str">
        <f aca="false">IF($C139="","",INDEX(ИНФА!$K$5:$K$19,MATCH($C139,ИНФА!$I$5:$I$19,0)))</f>
        <v/>
      </c>
      <c r="L139" s="38" t="str">
        <f aca="false">IF($C139="","",INDEX(ИНФА!$O$5:$O$19,MATCH($C139,ИНФА!$I$5:$I$19,0)))</f>
        <v/>
      </c>
      <c r="M139" s="38" t="str">
        <f aca="false">IF($C139="","",INDEX(ИНФА!$P$5:$P$19,MATCH($C139,ИНФА!$I$5:$I$19,0)))</f>
        <v/>
      </c>
      <c r="N139" s="44"/>
      <c r="O139" s="48" t="n">
        <f aca="false">IF(OR($C139="",$N139=""),1,IF(AND($J139="Услуги",IFERROR(INDEX($C$5:$C$204,MATCH($N139,$A$5:$A$204,0))=INDEX(ИНФА!$L$5:$L$19,MATCH($C139,ИНФА!$I$5:$I$19,0)),FALSE()),IFERROR(INDEX($W$5:$W$204,MATCH($N139,$A$5:$A$204,0))=1,FALSE()),COUNTIF($N$5:$N139,$N139)&lt;=ИНФА!$F$16),1+ИНФА!$F$15,1))</f>
        <v>1</v>
      </c>
      <c r="P139" s="47" t="str">
        <f aca="false">IF($C139="","",IF($J139&lt;&gt;"Услуги","",IF($N139="","нет поставщика — нужен "&amp;INDEX(ИНФА!$L$5:$L$19,MATCH($C139,ИНФА!$I$5:$I$19,0)),IF($O139&gt;1,"✓ поставка работает (+50%)",IF(IFERROR(INDEX($C$5:$C$204,MATCH($N139,$A$5:$A$204,0))&lt;&gt;INDEX(ИНФА!$L$5:$L$19,MATCH($C139,ИНФА!$I$5:$I$19,0)),TRUE()),"не тот поставщик: нужен "&amp;INDEX(ИНФА!$L$5:$L$19,MATCH($C139,ИНФА!$I$5:$I$19,0)),IF(COUNTIF($N$5:$N139,$N139)&gt;ИНФА!$F$16,"поставщик перегружен","поставщик ещё не работает или продан"))))))</f>
        <v/>
      </c>
      <c r="Q139" s="44"/>
      <c r="R139" s="48" t="str">
        <f aca="false">IF($C139="","",IF($Q139="",1,IFERROR(INDEX(НАУКА!$K$5:$K$44,MATCH($Q139,НАУКА!$A$5:$A$44,0)),1)))</f>
        <v/>
      </c>
      <c r="S139" s="37" t="str">
        <f aca="false">IF($Q139="","",IFERROR(INDEX(НАУКА!$G$5:$G$44,MATCH($Q139,НАУКА!$A$5:$A$44,0)),""))</f>
        <v/>
      </c>
      <c r="T139" s="44"/>
      <c r="U139" s="44"/>
      <c r="V139" s="43"/>
      <c r="W139" s="37" t="n">
        <f aca="false">IF(OR($C139="",$D139=""),0,IF(AND($D139&lt;ИНФА!$F$5,OR($T139="",$T139&gt;=ИНФА!$F$5)),1,0))</f>
        <v>0</v>
      </c>
      <c r="X139" s="46" t="str">
        <f aca="false">IF($C139="","",INDEX(СОБЫТИЯ!$B$5:$K$8,MATCH($K139,СОБЫТИЯ!$A$5:$A$8,0),ИНФА!$F$5))</f>
        <v/>
      </c>
      <c r="Y139" s="42" t="str">
        <f aca="false">IF($C139="","",IF($W139=1,ROUND($L139*$O139*IF(AND($Q139&lt;&gt;"",$S139&lt;&gt;""),IF($S139&lt;ИНФА!$F$5,$R139,1),1)*$X139,0)-$M139+N($AF139)+N($AG139),0))</f>
        <v/>
      </c>
      <c r="Z139" s="38" t="str">
        <f aca="false">IF($C139="","",IF($T139="",INDEX(ИНФА!$M$5:$M$19,MATCH($C139,ИНФА!$I$5:$I$19,0)),0))</f>
        <v/>
      </c>
      <c r="AA139" s="38" t="str">
        <f aca="false">IF(OR($C139="",$T139=""),"",IF($V139&lt;&gt;"",$V139,INDEX(ИНФА!$N$5:$N$19,MATCH($C139,ИНФА!$I$5:$I$19,0))))</f>
        <v/>
      </c>
      <c r="AB139" s="37" t="str">
        <f aca="false">IF($C139="","",IF($T139&lt;&gt;"",IF($U139&lt;&gt;"","продано компании "&amp;$U139&amp;" в цикле "&amp;$T139,"продано Инфраструктуре в цикле "&amp;$T139),IF($D139&gt;=ИНФА!$F$5,"доход со следующего цикла","приносит доход")))</f>
        <v/>
      </c>
      <c r="AC139" s="47" t="str">
        <f aca="false">IF($C139="","",IF($F139="","",IF($E139="","укажите продавца; ",IF(OR($F139&lt;INDEX(ИНФА!$N$5:$N$19,MATCH($C139,ИНФА!$I$5:$I$19,0)),$F139&gt;INDEX(ИНФА!$M$5:$M$19,MATCH($C139,ИНФА!$I$5:$I$19,0))),"цена покупки вне коридора! ","")))&amp;IF($U139="","",IF(OR($V139="",$T139=""),"укажите цикл и цену продажи; ",IF(OR($V139&lt;INDEX(ИНФА!$N$5:$N$19,MATCH($C139,ИНФА!$I$5:$I$19,0)),$V139&gt;INDEX(ИНФА!$M$5:$M$19,MATCH($C139,ИНФА!$I$5:$I$19,0))),"цена продажи вне коридора! ","")))&amp;IF(AND($T139="",COUNTIFS($C$5:$C139,$C139,$T$5:$T139,"")&gt;INDEX(ИНФА!$Q$5:$Q$19,MATCH($C139,ИНФА!$I$5:$I$19,0))),"лотов нет! ","")&amp;IF(AND($E139&lt;&gt;"",$F139=""),"укажите цену сделки; ","")&amp;IF(AND(N($H139)&gt;0,OR($AD139="",$AD139="Профессия"),OR($H139&gt;ИНФА!$F$29,$I139&lt;INDEX(ИНФА!$N$5:$N$19,MATCH($C139,ИНФА!$I$5:$I$19,0))+ИНФА!$F$30)),"скидка больше лимита или цена ниже выкупа + 500! ","")&amp;IF($AE139="","",IF(IFERROR(INDEX($B$5:$B$204,MATCH($AE139,$A$5:$A$204,0))=$B139,TRUE()),"бизнес-пара — только со зданием другой компании; ",""))&amp;IF($Q139="","",IF(IFERROR(INDEX(НАУКА!$B$5:$B$44,MATCH($Q139,НАУКА!$A$5:$A$44,0))&lt;&gt;$B139,FALSE()),"патент другой компании — нужна лицензия или соглашение; ","")))</f>
        <v/>
      </c>
      <c r="AD139" s="44"/>
      <c r="AE139" s="44"/>
      <c r="AF139" s="38" t="str">
        <f aca="false">IF($C139="","",IF(AND($W139=1,OR($C139="Дом",$C139="Кафе")),ИНФА!$F$17*(COUNTIFS($B$5:$B139,$B139,$C$5:$C139,$C139,$W$5:$W139,1)&lt;=COUNTIFS($B$5:$B$204,$B139,$C$5:$C$204,"Парк",$W$5:$W$204,1)),0))</f>
        <v/>
      </c>
      <c r="AG139" s="38" t="str">
        <f aca="false">IF($C139="","",IF($W139=1,IF(OR(AND($AE139&lt;&gt;"",IFERROR(INDEX($W$5:$W$204,MATCH($AE139,$A$5:$A$204,0))=1,FALSE()),IFERROR(INDEX($B$5:$B$204,MATCH($AE139,$A$5:$A$204,0))&lt;&gt;$B139,FALSE())),COUNTIFS($AE$5:$AE$204,$A139,$W$5:$W$204,1,$B$5:$B$204,"&lt;&gt;"&amp;$B139)&gt;0),ИНФА!$F$31,0),0))</f>
        <v/>
      </c>
    </row>
    <row r="140" customFormat="false" ht="15" hidden="false" customHeight="false" outlineLevel="0" collapsed="false">
      <c r="A140" s="15" t="n">
        <v>136</v>
      </c>
      <c r="B140" s="44"/>
      <c r="C140" s="44"/>
      <c r="D140" s="44"/>
      <c r="E140" s="44"/>
      <c r="F140" s="43"/>
      <c r="G140" s="38" t="str">
        <f aca="false">IF($C140="","",IF($F140&lt;&gt;"",$F140,INDEX(ИНФА!$M$5:$M$19,MATCH($C140,ИНФА!$I$5:$I$19,0))))</f>
        <v/>
      </c>
      <c r="H140" s="43"/>
      <c r="I140" s="38" t="str">
        <f aca="false">IF($C140="","",G140-N(H140))</f>
        <v/>
      </c>
      <c r="J140" s="37" t="str">
        <f aca="false">IF($C140="","",INDEX(ИНФА!$J$5:$J$19,MATCH($C140,ИНФА!$I$5:$I$19,0)))</f>
        <v/>
      </c>
      <c r="K140" s="37" t="str">
        <f aca="false">IF($C140="","",INDEX(ИНФА!$K$5:$K$19,MATCH($C140,ИНФА!$I$5:$I$19,0)))</f>
        <v/>
      </c>
      <c r="L140" s="38" t="str">
        <f aca="false">IF($C140="","",INDEX(ИНФА!$O$5:$O$19,MATCH($C140,ИНФА!$I$5:$I$19,0)))</f>
        <v/>
      </c>
      <c r="M140" s="38" t="str">
        <f aca="false">IF($C140="","",INDEX(ИНФА!$P$5:$P$19,MATCH($C140,ИНФА!$I$5:$I$19,0)))</f>
        <v/>
      </c>
      <c r="N140" s="44"/>
      <c r="O140" s="48" t="n">
        <f aca="false">IF(OR($C140="",$N140=""),1,IF(AND($J140="Услуги",IFERROR(INDEX($C$5:$C$204,MATCH($N140,$A$5:$A$204,0))=INDEX(ИНФА!$L$5:$L$19,MATCH($C140,ИНФА!$I$5:$I$19,0)),FALSE()),IFERROR(INDEX($W$5:$W$204,MATCH($N140,$A$5:$A$204,0))=1,FALSE()),COUNTIF($N$5:$N140,$N140)&lt;=ИНФА!$F$16),1+ИНФА!$F$15,1))</f>
        <v>1</v>
      </c>
      <c r="P140" s="47" t="str">
        <f aca="false">IF($C140="","",IF($J140&lt;&gt;"Услуги","",IF($N140="","нет поставщика — нужен "&amp;INDEX(ИНФА!$L$5:$L$19,MATCH($C140,ИНФА!$I$5:$I$19,0)),IF($O140&gt;1,"✓ поставка работает (+50%)",IF(IFERROR(INDEX($C$5:$C$204,MATCH($N140,$A$5:$A$204,0))&lt;&gt;INDEX(ИНФА!$L$5:$L$19,MATCH($C140,ИНФА!$I$5:$I$19,0)),TRUE()),"не тот поставщик: нужен "&amp;INDEX(ИНФА!$L$5:$L$19,MATCH($C140,ИНФА!$I$5:$I$19,0)),IF(COUNTIF($N$5:$N140,$N140)&gt;ИНФА!$F$16,"поставщик перегружен","поставщик ещё не работает или продан"))))))</f>
        <v/>
      </c>
      <c r="Q140" s="44"/>
      <c r="R140" s="48" t="str">
        <f aca="false">IF($C140="","",IF($Q140="",1,IFERROR(INDEX(НАУКА!$K$5:$K$44,MATCH($Q140,НАУКА!$A$5:$A$44,0)),1)))</f>
        <v/>
      </c>
      <c r="S140" s="37" t="str">
        <f aca="false">IF($Q140="","",IFERROR(INDEX(НАУКА!$G$5:$G$44,MATCH($Q140,НАУКА!$A$5:$A$44,0)),""))</f>
        <v/>
      </c>
      <c r="T140" s="44"/>
      <c r="U140" s="44"/>
      <c r="V140" s="43"/>
      <c r="W140" s="37" t="n">
        <f aca="false">IF(OR($C140="",$D140=""),0,IF(AND($D140&lt;ИНФА!$F$5,OR($T140="",$T140&gt;=ИНФА!$F$5)),1,0))</f>
        <v>0</v>
      </c>
      <c r="X140" s="46" t="str">
        <f aca="false">IF($C140="","",INDEX(СОБЫТИЯ!$B$5:$K$8,MATCH($K140,СОБЫТИЯ!$A$5:$A$8,0),ИНФА!$F$5))</f>
        <v/>
      </c>
      <c r="Y140" s="42" t="str">
        <f aca="false">IF($C140="","",IF($W140=1,ROUND($L140*$O140*IF(AND($Q140&lt;&gt;"",$S140&lt;&gt;""),IF($S140&lt;ИНФА!$F$5,$R140,1),1)*$X140,0)-$M140+N($AF140)+N($AG140),0))</f>
        <v/>
      </c>
      <c r="Z140" s="38" t="str">
        <f aca="false">IF($C140="","",IF($T140="",INDEX(ИНФА!$M$5:$M$19,MATCH($C140,ИНФА!$I$5:$I$19,0)),0))</f>
        <v/>
      </c>
      <c r="AA140" s="38" t="str">
        <f aca="false">IF(OR($C140="",$T140=""),"",IF($V140&lt;&gt;"",$V140,INDEX(ИНФА!$N$5:$N$19,MATCH($C140,ИНФА!$I$5:$I$19,0))))</f>
        <v/>
      </c>
      <c r="AB140" s="37" t="str">
        <f aca="false">IF($C140="","",IF($T140&lt;&gt;"",IF($U140&lt;&gt;"","продано компании "&amp;$U140&amp;" в цикле "&amp;$T140,"продано Инфраструктуре в цикле "&amp;$T140),IF($D140&gt;=ИНФА!$F$5,"доход со следующего цикла","приносит доход")))</f>
        <v/>
      </c>
      <c r="AC140" s="47" t="str">
        <f aca="false">IF($C140="","",IF($F140="","",IF($E140="","укажите продавца; ",IF(OR($F140&lt;INDEX(ИНФА!$N$5:$N$19,MATCH($C140,ИНФА!$I$5:$I$19,0)),$F140&gt;INDEX(ИНФА!$M$5:$M$19,MATCH($C140,ИНФА!$I$5:$I$19,0))),"цена покупки вне коридора! ","")))&amp;IF($U140="","",IF(OR($V140="",$T140=""),"укажите цикл и цену продажи; ",IF(OR($V140&lt;INDEX(ИНФА!$N$5:$N$19,MATCH($C140,ИНФА!$I$5:$I$19,0)),$V140&gt;INDEX(ИНФА!$M$5:$M$19,MATCH($C140,ИНФА!$I$5:$I$19,0))),"цена продажи вне коридора! ","")))&amp;IF(AND($T140="",COUNTIFS($C$5:$C140,$C140,$T$5:$T140,"")&gt;INDEX(ИНФА!$Q$5:$Q$19,MATCH($C140,ИНФА!$I$5:$I$19,0))),"лотов нет! ","")&amp;IF(AND($E140&lt;&gt;"",$F140=""),"укажите цену сделки; ","")&amp;IF(AND(N($H140)&gt;0,OR($AD140="",$AD140="Профессия"),OR($H140&gt;ИНФА!$F$29,$I140&lt;INDEX(ИНФА!$N$5:$N$19,MATCH($C140,ИНФА!$I$5:$I$19,0))+ИНФА!$F$30)),"скидка больше лимита или цена ниже выкупа + 500! ","")&amp;IF($AE140="","",IF(IFERROR(INDEX($B$5:$B$204,MATCH($AE140,$A$5:$A$204,0))=$B140,TRUE()),"бизнес-пара — только со зданием другой компании; ",""))&amp;IF($Q140="","",IF(IFERROR(INDEX(НАУКА!$B$5:$B$44,MATCH($Q140,НАУКА!$A$5:$A$44,0))&lt;&gt;$B140,FALSE()),"патент другой компании — нужна лицензия или соглашение; ","")))</f>
        <v/>
      </c>
      <c r="AD140" s="44"/>
      <c r="AE140" s="44"/>
      <c r="AF140" s="38" t="str">
        <f aca="false">IF($C140="","",IF(AND($W140=1,OR($C140="Дом",$C140="Кафе")),ИНФА!$F$17*(COUNTIFS($B$5:$B140,$B140,$C$5:$C140,$C140,$W$5:$W140,1)&lt;=COUNTIFS($B$5:$B$204,$B140,$C$5:$C$204,"Парк",$W$5:$W$204,1)),0))</f>
        <v/>
      </c>
      <c r="AG140" s="38" t="str">
        <f aca="false">IF($C140="","",IF($W140=1,IF(OR(AND($AE140&lt;&gt;"",IFERROR(INDEX($W$5:$W$204,MATCH($AE140,$A$5:$A$204,0))=1,FALSE()),IFERROR(INDEX($B$5:$B$204,MATCH($AE140,$A$5:$A$204,0))&lt;&gt;$B140,FALSE())),COUNTIFS($AE$5:$AE$204,$A140,$W$5:$W$204,1,$B$5:$B$204,"&lt;&gt;"&amp;$B140)&gt;0),ИНФА!$F$31,0),0))</f>
        <v/>
      </c>
    </row>
    <row r="141" customFormat="false" ht="15" hidden="false" customHeight="false" outlineLevel="0" collapsed="false">
      <c r="A141" s="15" t="n">
        <v>137</v>
      </c>
      <c r="B141" s="44"/>
      <c r="C141" s="44"/>
      <c r="D141" s="44"/>
      <c r="E141" s="44"/>
      <c r="F141" s="43"/>
      <c r="G141" s="38" t="str">
        <f aca="false">IF($C141="","",IF($F141&lt;&gt;"",$F141,INDEX(ИНФА!$M$5:$M$19,MATCH($C141,ИНФА!$I$5:$I$19,0))))</f>
        <v/>
      </c>
      <c r="H141" s="43"/>
      <c r="I141" s="38" t="str">
        <f aca="false">IF($C141="","",G141-N(H141))</f>
        <v/>
      </c>
      <c r="J141" s="37" t="str">
        <f aca="false">IF($C141="","",INDEX(ИНФА!$J$5:$J$19,MATCH($C141,ИНФА!$I$5:$I$19,0)))</f>
        <v/>
      </c>
      <c r="K141" s="37" t="str">
        <f aca="false">IF($C141="","",INDEX(ИНФА!$K$5:$K$19,MATCH($C141,ИНФА!$I$5:$I$19,0)))</f>
        <v/>
      </c>
      <c r="L141" s="38" t="str">
        <f aca="false">IF($C141="","",INDEX(ИНФА!$O$5:$O$19,MATCH($C141,ИНФА!$I$5:$I$19,0)))</f>
        <v/>
      </c>
      <c r="M141" s="38" t="str">
        <f aca="false">IF($C141="","",INDEX(ИНФА!$P$5:$P$19,MATCH($C141,ИНФА!$I$5:$I$19,0)))</f>
        <v/>
      </c>
      <c r="N141" s="44"/>
      <c r="O141" s="48" t="n">
        <f aca="false">IF(OR($C141="",$N141=""),1,IF(AND($J141="Услуги",IFERROR(INDEX($C$5:$C$204,MATCH($N141,$A$5:$A$204,0))=INDEX(ИНФА!$L$5:$L$19,MATCH($C141,ИНФА!$I$5:$I$19,0)),FALSE()),IFERROR(INDEX($W$5:$W$204,MATCH($N141,$A$5:$A$204,0))=1,FALSE()),COUNTIF($N$5:$N141,$N141)&lt;=ИНФА!$F$16),1+ИНФА!$F$15,1))</f>
        <v>1</v>
      </c>
      <c r="P141" s="47" t="str">
        <f aca="false">IF($C141="","",IF($J141&lt;&gt;"Услуги","",IF($N141="","нет поставщика — нужен "&amp;INDEX(ИНФА!$L$5:$L$19,MATCH($C141,ИНФА!$I$5:$I$19,0)),IF($O141&gt;1,"✓ поставка работает (+50%)",IF(IFERROR(INDEX($C$5:$C$204,MATCH($N141,$A$5:$A$204,0))&lt;&gt;INDEX(ИНФА!$L$5:$L$19,MATCH($C141,ИНФА!$I$5:$I$19,0)),TRUE()),"не тот поставщик: нужен "&amp;INDEX(ИНФА!$L$5:$L$19,MATCH($C141,ИНФА!$I$5:$I$19,0)),IF(COUNTIF($N$5:$N141,$N141)&gt;ИНФА!$F$16,"поставщик перегружен","поставщик ещё не работает или продан"))))))</f>
        <v/>
      </c>
      <c r="Q141" s="44"/>
      <c r="R141" s="48" t="str">
        <f aca="false">IF($C141="","",IF($Q141="",1,IFERROR(INDEX(НАУКА!$K$5:$K$44,MATCH($Q141,НАУКА!$A$5:$A$44,0)),1)))</f>
        <v/>
      </c>
      <c r="S141" s="37" t="str">
        <f aca="false">IF($Q141="","",IFERROR(INDEX(НАУКА!$G$5:$G$44,MATCH($Q141,НАУКА!$A$5:$A$44,0)),""))</f>
        <v/>
      </c>
      <c r="T141" s="44"/>
      <c r="U141" s="44"/>
      <c r="V141" s="43"/>
      <c r="W141" s="37" t="n">
        <f aca="false">IF(OR($C141="",$D141=""),0,IF(AND($D141&lt;ИНФА!$F$5,OR($T141="",$T141&gt;=ИНФА!$F$5)),1,0))</f>
        <v>0</v>
      </c>
      <c r="X141" s="46" t="str">
        <f aca="false">IF($C141="","",INDEX(СОБЫТИЯ!$B$5:$K$8,MATCH($K141,СОБЫТИЯ!$A$5:$A$8,0),ИНФА!$F$5))</f>
        <v/>
      </c>
      <c r="Y141" s="42" t="str">
        <f aca="false">IF($C141="","",IF($W141=1,ROUND($L141*$O141*IF(AND($Q141&lt;&gt;"",$S141&lt;&gt;""),IF($S141&lt;ИНФА!$F$5,$R141,1),1)*$X141,0)-$M141+N($AF141)+N($AG141),0))</f>
        <v/>
      </c>
      <c r="Z141" s="38" t="str">
        <f aca="false">IF($C141="","",IF($T141="",INDEX(ИНФА!$M$5:$M$19,MATCH($C141,ИНФА!$I$5:$I$19,0)),0))</f>
        <v/>
      </c>
      <c r="AA141" s="38" t="str">
        <f aca="false">IF(OR($C141="",$T141=""),"",IF($V141&lt;&gt;"",$V141,INDEX(ИНФА!$N$5:$N$19,MATCH($C141,ИНФА!$I$5:$I$19,0))))</f>
        <v/>
      </c>
      <c r="AB141" s="37" t="str">
        <f aca="false">IF($C141="","",IF($T141&lt;&gt;"",IF($U141&lt;&gt;"","продано компании "&amp;$U141&amp;" в цикле "&amp;$T141,"продано Инфраструктуре в цикле "&amp;$T141),IF($D141&gt;=ИНФА!$F$5,"доход со следующего цикла","приносит доход")))</f>
        <v/>
      </c>
      <c r="AC141" s="47" t="str">
        <f aca="false">IF($C141="","",IF($F141="","",IF($E141="","укажите продавца; ",IF(OR($F141&lt;INDEX(ИНФА!$N$5:$N$19,MATCH($C141,ИНФА!$I$5:$I$19,0)),$F141&gt;INDEX(ИНФА!$M$5:$M$19,MATCH($C141,ИНФА!$I$5:$I$19,0))),"цена покупки вне коридора! ","")))&amp;IF($U141="","",IF(OR($V141="",$T141=""),"укажите цикл и цену продажи; ",IF(OR($V141&lt;INDEX(ИНФА!$N$5:$N$19,MATCH($C141,ИНФА!$I$5:$I$19,0)),$V141&gt;INDEX(ИНФА!$M$5:$M$19,MATCH($C141,ИНФА!$I$5:$I$19,0))),"цена продажи вне коридора! ","")))&amp;IF(AND($T141="",COUNTIFS($C$5:$C141,$C141,$T$5:$T141,"")&gt;INDEX(ИНФА!$Q$5:$Q$19,MATCH($C141,ИНФА!$I$5:$I$19,0))),"лотов нет! ","")&amp;IF(AND($E141&lt;&gt;"",$F141=""),"укажите цену сделки; ","")&amp;IF(AND(N($H141)&gt;0,OR($AD141="",$AD141="Профессия"),OR($H141&gt;ИНФА!$F$29,$I141&lt;INDEX(ИНФА!$N$5:$N$19,MATCH($C141,ИНФА!$I$5:$I$19,0))+ИНФА!$F$30)),"скидка больше лимита или цена ниже выкупа + 500! ","")&amp;IF($AE141="","",IF(IFERROR(INDEX($B$5:$B$204,MATCH($AE141,$A$5:$A$204,0))=$B141,TRUE()),"бизнес-пара — только со зданием другой компании; ",""))&amp;IF($Q141="","",IF(IFERROR(INDEX(НАУКА!$B$5:$B$44,MATCH($Q141,НАУКА!$A$5:$A$44,0))&lt;&gt;$B141,FALSE()),"патент другой компании — нужна лицензия или соглашение; ","")))</f>
        <v/>
      </c>
      <c r="AD141" s="44"/>
      <c r="AE141" s="44"/>
      <c r="AF141" s="38" t="str">
        <f aca="false">IF($C141="","",IF(AND($W141=1,OR($C141="Дом",$C141="Кафе")),ИНФА!$F$17*(COUNTIFS($B$5:$B141,$B141,$C$5:$C141,$C141,$W$5:$W141,1)&lt;=COUNTIFS($B$5:$B$204,$B141,$C$5:$C$204,"Парк",$W$5:$W$204,1)),0))</f>
        <v/>
      </c>
      <c r="AG141" s="38" t="str">
        <f aca="false">IF($C141="","",IF($W141=1,IF(OR(AND($AE141&lt;&gt;"",IFERROR(INDEX($W$5:$W$204,MATCH($AE141,$A$5:$A$204,0))=1,FALSE()),IFERROR(INDEX($B$5:$B$204,MATCH($AE141,$A$5:$A$204,0))&lt;&gt;$B141,FALSE())),COUNTIFS($AE$5:$AE$204,$A141,$W$5:$W$204,1,$B$5:$B$204,"&lt;&gt;"&amp;$B141)&gt;0),ИНФА!$F$31,0),0))</f>
        <v/>
      </c>
    </row>
    <row r="142" customFormat="false" ht="15" hidden="false" customHeight="false" outlineLevel="0" collapsed="false">
      <c r="A142" s="15" t="n">
        <v>138</v>
      </c>
      <c r="B142" s="44"/>
      <c r="C142" s="44"/>
      <c r="D142" s="44"/>
      <c r="E142" s="44"/>
      <c r="F142" s="43"/>
      <c r="G142" s="38" t="str">
        <f aca="false">IF($C142="","",IF($F142&lt;&gt;"",$F142,INDEX(ИНФА!$M$5:$M$19,MATCH($C142,ИНФА!$I$5:$I$19,0))))</f>
        <v/>
      </c>
      <c r="H142" s="43"/>
      <c r="I142" s="38" t="str">
        <f aca="false">IF($C142="","",G142-N(H142))</f>
        <v/>
      </c>
      <c r="J142" s="37" t="str">
        <f aca="false">IF($C142="","",INDEX(ИНФА!$J$5:$J$19,MATCH($C142,ИНФА!$I$5:$I$19,0)))</f>
        <v/>
      </c>
      <c r="K142" s="37" t="str">
        <f aca="false">IF($C142="","",INDEX(ИНФА!$K$5:$K$19,MATCH($C142,ИНФА!$I$5:$I$19,0)))</f>
        <v/>
      </c>
      <c r="L142" s="38" t="str">
        <f aca="false">IF($C142="","",INDEX(ИНФА!$O$5:$O$19,MATCH($C142,ИНФА!$I$5:$I$19,0)))</f>
        <v/>
      </c>
      <c r="M142" s="38" t="str">
        <f aca="false">IF($C142="","",INDEX(ИНФА!$P$5:$P$19,MATCH($C142,ИНФА!$I$5:$I$19,0)))</f>
        <v/>
      </c>
      <c r="N142" s="44"/>
      <c r="O142" s="48" t="n">
        <f aca="false">IF(OR($C142="",$N142=""),1,IF(AND($J142="Услуги",IFERROR(INDEX($C$5:$C$204,MATCH($N142,$A$5:$A$204,0))=INDEX(ИНФА!$L$5:$L$19,MATCH($C142,ИНФА!$I$5:$I$19,0)),FALSE()),IFERROR(INDEX($W$5:$W$204,MATCH($N142,$A$5:$A$204,0))=1,FALSE()),COUNTIF($N$5:$N142,$N142)&lt;=ИНФА!$F$16),1+ИНФА!$F$15,1))</f>
        <v>1</v>
      </c>
      <c r="P142" s="47" t="str">
        <f aca="false">IF($C142="","",IF($J142&lt;&gt;"Услуги","",IF($N142="","нет поставщика — нужен "&amp;INDEX(ИНФА!$L$5:$L$19,MATCH($C142,ИНФА!$I$5:$I$19,0)),IF($O142&gt;1,"✓ поставка работает (+50%)",IF(IFERROR(INDEX($C$5:$C$204,MATCH($N142,$A$5:$A$204,0))&lt;&gt;INDEX(ИНФА!$L$5:$L$19,MATCH($C142,ИНФА!$I$5:$I$19,0)),TRUE()),"не тот поставщик: нужен "&amp;INDEX(ИНФА!$L$5:$L$19,MATCH($C142,ИНФА!$I$5:$I$19,0)),IF(COUNTIF($N$5:$N142,$N142)&gt;ИНФА!$F$16,"поставщик перегружен","поставщик ещё не работает или продан"))))))</f>
        <v/>
      </c>
      <c r="Q142" s="44"/>
      <c r="R142" s="48" t="str">
        <f aca="false">IF($C142="","",IF($Q142="",1,IFERROR(INDEX(НАУКА!$K$5:$K$44,MATCH($Q142,НАУКА!$A$5:$A$44,0)),1)))</f>
        <v/>
      </c>
      <c r="S142" s="37" t="str">
        <f aca="false">IF($Q142="","",IFERROR(INDEX(НАУКА!$G$5:$G$44,MATCH($Q142,НАУКА!$A$5:$A$44,0)),""))</f>
        <v/>
      </c>
      <c r="T142" s="44"/>
      <c r="U142" s="44"/>
      <c r="V142" s="43"/>
      <c r="W142" s="37" t="n">
        <f aca="false">IF(OR($C142="",$D142=""),0,IF(AND($D142&lt;ИНФА!$F$5,OR($T142="",$T142&gt;=ИНФА!$F$5)),1,0))</f>
        <v>0</v>
      </c>
      <c r="X142" s="46" t="str">
        <f aca="false">IF($C142="","",INDEX(СОБЫТИЯ!$B$5:$K$8,MATCH($K142,СОБЫТИЯ!$A$5:$A$8,0),ИНФА!$F$5))</f>
        <v/>
      </c>
      <c r="Y142" s="42" t="str">
        <f aca="false">IF($C142="","",IF($W142=1,ROUND($L142*$O142*IF(AND($Q142&lt;&gt;"",$S142&lt;&gt;""),IF($S142&lt;ИНФА!$F$5,$R142,1),1)*$X142,0)-$M142+N($AF142)+N($AG142),0))</f>
        <v/>
      </c>
      <c r="Z142" s="38" t="str">
        <f aca="false">IF($C142="","",IF($T142="",INDEX(ИНФА!$M$5:$M$19,MATCH($C142,ИНФА!$I$5:$I$19,0)),0))</f>
        <v/>
      </c>
      <c r="AA142" s="38" t="str">
        <f aca="false">IF(OR($C142="",$T142=""),"",IF($V142&lt;&gt;"",$V142,INDEX(ИНФА!$N$5:$N$19,MATCH($C142,ИНФА!$I$5:$I$19,0))))</f>
        <v/>
      </c>
      <c r="AB142" s="37" t="str">
        <f aca="false">IF($C142="","",IF($T142&lt;&gt;"",IF($U142&lt;&gt;"","продано компании "&amp;$U142&amp;" в цикле "&amp;$T142,"продано Инфраструктуре в цикле "&amp;$T142),IF($D142&gt;=ИНФА!$F$5,"доход со следующего цикла","приносит доход")))</f>
        <v/>
      </c>
      <c r="AC142" s="47" t="str">
        <f aca="false">IF($C142="","",IF($F142="","",IF($E142="","укажите продавца; ",IF(OR($F142&lt;INDEX(ИНФА!$N$5:$N$19,MATCH($C142,ИНФА!$I$5:$I$19,0)),$F142&gt;INDEX(ИНФА!$M$5:$M$19,MATCH($C142,ИНФА!$I$5:$I$19,0))),"цена покупки вне коридора! ","")))&amp;IF($U142="","",IF(OR($V142="",$T142=""),"укажите цикл и цену продажи; ",IF(OR($V142&lt;INDEX(ИНФА!$N$5:$N$19,MATCH($C142,ИНФА!$I$5:$I$19,0)),$V142&gt;INDEX(ИНФА!$M$5:$M$19,MATCH($C142,ИНФА!$I$5:$I$19,0))),"цена продажи вне коридора! ","")))&amp;IF(AND($T142="",COUNTIFS($C$5:$C142,$C142,$T$5:$T142,"")&gt;INDEX(ИНФА!$Q$5:$Q$19,MATCH($C142,ИНФА!$I$5:$I$19,0))),"лотов нет! ","")&amp;IF(AND($E142&lt;&gt;"",$F142=""),"укажите цену сделки; ","")&amp;IF(AND(N($H142)&gt;0,OR($AD142="",$AD142="Профессия"),OR($H142&gt;ИНФА!$F$29,$I142&lt;INDEX(ИНФА!$N$5:$N$19,MATCH($C142,ИНФА!$I$5:$I$19,0))+ИНФА!$F$30)),"скидка больше лимита или цена ниже выкупа + 500! ","")&amp;IF($AE142="","",IF(IFERROR(INDEX($B$5:$B$204,MATCH($AE142,$A$5:$A$204,0))=$B142,TRUE()),"бизнес-пара — только со зданием другой компании; ",""))&amp;IF($Q142="","",IF(IFERROR(INDEX(НАУКА!$B$5:$B$44,MATCH($Q142,НАУКА!$A$5:$A$44,0))&lt;&gt;$B142,FALSE()),"патент другой компании — нужна лицензия или соглашение; ","")))</f>
        <v/>
      </c>
      <c r="AD142" s="44"/>
      <c r="AE142" s="44"/>
      <c r="AF142" s="38" t="str">
        <f aca="false">IF($C142="","",IF(AND($W142=1,OR($C142="Дом",$C142="Кафе")),ИНФА!$F$17*(COUNTIFS($B$5:$B142,$B142,$C$5:$C142,$C142,$W$5:$W142,1)&lt;=COUNTIFS($B$5:$B$204,$B142,$C$5:$C$204,"Парк",$W$5:$W$204,1)),0))</f>
        <v/>
      </c>
      <c r="AG142" s="38" t="str">
        <f aca="false">IF($C142="","",IF($W142=1,IF(OR(AND($AE142&lt;&gt;"",IFERROR(INDEX($W$5:$W$204,MATCH($AE142,$A$5:$A$204,0))=1,FALSE()),IFERROR(INDEX($B$5:$B$204,MATCH($AE142,$A$5:$A$204,0))&lt;&gt;$B142,FALSE())),COUNTIFS($AE$5:$AE$204,$A142,$W$5:$W$204,1,$B$5:$B$204,"&lt;&gt;"&amp;$B142)&gt;0),ИНФА!$F$31,0),0))</f>
        <v/>
      </c>
    </row>
    <row r="143" customFormat="false" ht="15" hidden="false" customHeight="false" outlineLevel="0" collapsed="false">
      <c r="A143" s="15" t="n">
        <v>139</v>
      </c>
      <c r="B143" s="44"/>
      <c r="C143" s="44"/>
      <c r="D143" s="44"/>
      <c r="E143" s="44"/>
      <c r="F143" s="43"/>
      <c r="G143" s="38" t="str">
        <f aca="false">IF($C143="","",IF($F143&lt;&gt;"",$F143,INDEX(ИНФА!$M$5:$M$19,MATCH($C143,ИНФА!$I$5:$I$19,0))))</f>
        <v/>
      </c>
      <c r="H143" s="43"/>
      <c r="I143" s="38" t="str">
        <f aca="false">IF($C143="","",G143-N(H143))</f>
        <v/>
      </c>
      <c r="J143" s="37" t="str">
        <f aca="false">IF($C143="","",INDEX(ИНФА!$J$5:$J$19,MATCH($C143,ИНФА!$I$5:$I$19,0)))</f>
        <v/>
      </c>
      <c r="K143" s="37" t="str">
        <f aca="false">IF($C143="","",INDEX(ИНФА!$K$5:$K$19,MATCH($C143,ИНФА!$I$5:$I$19,0)))</f>
        <v/>
      </c>
      <c r="L143" s="38" t="str">
        <f aca="false">IF($C143="","",INDEX(ИНФА!$O$5:$O$19,MATCH($C143,ИНФА!$I$5:$I$19,0)))</f>
        <v/>
      </c>
      <c r="M143" s="38" t="str">
        <f aca="false">IF($C143="","",INDEX(ИНФА!$P$5:$P$19,MATCH($C143,ИНФА!$I$5:$I$19,0)))</f>
        <v/>
      </c>
      <c r="N143" s="44"/>
      <c r="O143" s="48" t="n">
        <f aca="false">IF(OR($C143="",$N143=""),1,IF(AND($J143="Услуги",IFERROR(INDEX($C$5:$C$204,MATCH($N143,$A$5:$A$204,0))=INDEX(ИНФА!$L$5:$L$19,MATCH($C143,ИНФА!$I$5:$I$19,0)),FALSE()),IFERROR(INDEX($W$5:$W$204,MATCH($N143,$A$5:$A$204,0))=1,FALSE()),COUNTIF($N$5:$N143,$N143)&lt;=ИНФА!$F$16),1+ИНФА!$F$15,1))</f>
        <v>1</v>
      </c>
      <c r="P143" s="47" t="str">
        <f aca="false">IF($C143="","",IF($J143&lt;&gt;"Услуги","",IF($N143="","нет поставщика — нужен "&amp;INDEX(ИНФА!$L$5:$L$19,MATCH($C143,ИНФА!$I$5:$I$19,0)),IF($O143&gt;1,"✓ поставка работает (+50%)",IF(IFERROR(INDEX($C$5:$C$204,MATCH($N143,$A$5:$A$204,0))&lt;&gt;INDEX(ИНФА!$L$5:$L$19,MATCH($C143,ИНФА!$I$5:$I$19,0)),TRUE()),"не тот поставщик: нужен "&amp;INDEX(ИНФА!$L$5:$L$19,MATCH($C143,ИНФА!$I$5:$I$19,0)),IF(COUNTIF($N$5:$N143,$N143)&gt;ИНФА!$F$16,"поставщик перегружен","поставщик ещё не работает или продан"))))))</f>
        <v/>
      </c>
      <c r="Q143" s="44"/>
      <c r="R143" s="48" t="str">
        <f aca="false">IF($C143="","",IF($Q143="",1,IFERROR(INDEX(НАУКА!$K$5:$K$44,MATCH($Q143,НАУКА!$A$5:$A$44,0)),1)))</f>
        <v/>
      </c>
      <c r="S143" s="37" t="str">
        <f aca="false">IF($Q143="","",IFERROR(INDEX(НАУКА!$G$5:$G$44,MATCH($Q143,НАУКА!$A$5:$A$44,0)),""))</f>
        <v/>
      </c>
      <c r="T143" s="44"/>
      <c r="U143" s="44"/>
      <c r="V143" s="43"/>
      <c r="W143" s="37" t="n">
        <f aca="false">IF(OR($C143="",$D143=""),0,IF(AND($D143&lt;ИНФА!$F$5,OR($T143="",$T143&gt;=ИНФА!$F$5)),1,0))</f>
        <v>0</v>
      </c>
      <c r="X143" s="46" t="str">
        <f aca="false">IF($C143="","",INDEX(СОБЫТИЯ!$B$5:$K$8,MATCH($K143,СОБЫТИЯ!$A$5:$A$8,0),ИНФА!$F$5))</f>
        <v/>
      </c>
      <c r="Y143" s="42" t="str">
        <f aca="false">IF($C143="","",IF($W143=1,ROUND($L143*$O143*IF(AND($Q143&lt;&gt;"",$S143&lt;&gt;""),IF($S143&lt;ИНФА!$F$5,$R143,1),1)*$X143,0)-$M143+N($AF143)+N($AG143),0))</f>
        <v/>
      </c>
      <c r="Z143" s="38" t="str">
        <f aca="false">IF($C143="","",IF($T143="",INDEX(ИНФА!$M$5:$M$19,MATCH($C143,ИНФА!$I$5:$I$19,0)),0))</f>
        <v/>
      </c>
      <c r="AA143" s="38" t="str">
        <f aca="false">IF(OR($C143="",$T143=""),"",IF($V143&lt;&gt;"",$V143,INDEX(ИНФА!$N$5:$N$19,MATCH($C143,ИНФА!$I$5:$I$19,0))))</f>
        <v/>
      </c>
      <c r="AB143" s="37" t="str">
        <f aca="false">IF($C143="","",IF($T143&lt;&gt;"",IF($U143&lt;&gt;"","продано компании "&amp;$U143&amp;" в цикле "&amp;$T143,"продано Инфраструктуре в цикле "&amp;$T143),IF($D143&gt;=ИНФА!$F$5,"доход со следующего цикла","приносит доход")))</f>
        <v/>
      </c>
      <c r="AC143" s="47" t="str">
        <f aca="false">IF($C143="","",IF($F143="","",IF($E143="","укажите продавца; ",IF(OR($F143&lt;INDEX(ИНФА!$N$5:$N$19,MATCH($C143,ИНФА!$I$5:$I$19,0)),$F143&gt;INDEX(ИНФА!$M$5:$M$19,MATCH($C143,ИНФА!$I$5:$I$19,0))),"цена покупки вне коридора! ","")))&amp;IF($U143="","",IF(OR($V143="",$T143=""),"укажите цикл и цену продажи; ",IF(OR($V143&lt;INDEX(ИНФА!$N$5:$N$19,MATCH($C143,ИНФА!$I$5:$I$19,0)),$V143&gt;INDEX(ИНФА!$M$5:$M$19,MATCH($C143,ИНФА!$I$5:$I$19,0))),"цена продажи вне коридора! ","")))&amp;IF(AND($T143="",COUNTIFS($C$5:$C143,$C143,$T$5:$T143,"")&gt;INDEX(ИНФА!$Q$5:$Q$19,MATCH($C143,ИНФА!$I$5:$I$19,0))),"лотов нет! ","")&amp;IF(AND($E143&lt;&gt;"",$F143=""),"укажите цену сделки; ","")&amp;IF(AND(N($H143)&gt;0,OR($AD143="",$AD143="Профессия"),OR($H143&gt;ИНФА!$F$29,$I143&lt;INDEX(ИНФА!$N$5:$N$19,MATCH($C143,ИНФА!$I$5:$I$19,0))+ИНФА!$F$30)),"скидка больше лимита или цена ниже выкупа + 500! ","")&amp;IF($AE143="","",IF(IFERROR(INDEX($B$5:$B$204,MATCH($AE143,$A$5:$A$204,0))=$B143,TRUE()),"бизнес-пара — только со зданием другой компании; ",""))&amp;IF($Q143="","",IF(IFERROR(INDEX(НАУКА!$B$5:$B$44,MATCH($Q143,НАУКА!$A$5:$A$44,0))&lt;&gt;$B143,FALSE()),"патент другой компании — нужна лицензия или соглашение; ","")))</f>
        <v/>
      </c>
      <c r="AD143" s="44"/>
      <c r="AE143" s="44"/>
      <c r="AF143" s="38" t="str">
        <f aca="false">IF($C143="","",IF(AND($W143=1,OR($C143="Дом",$C143="Кафе")),ИНФА!$F$17*(COUNTIFS($B$5:$B143,$B143,$C$5:$C143,$C143,$W$5:$W143,1)&lt;=COUNTIFS($B$5:$B$204,$B143,$C$5:$C$204,"Парк",$W$5:$W$204,1)),0))</f>
        <v/>
      </c>
      <c r="AG143" s="38" t="str">
        <f aca="false">IF($C143="","",IF($W143=1,IF(OR(AND($AE143&lt;&gt;"",IFERROR(INDEX($W$5:$W$204,MATCH($AE143,$A$5:$A$204,0))=1,FALSE()),IFERROR(INDEX($B$5:$B$204,MATCH($AE143,$A$5:$A$204,0))&lt;&gt;$B143,FALSE())),COUNTIFS($AE$5:$AE$204,$A143,$W$5:$W$204,1,$B$5:$B$204,"&lt;&gt;"&amp;$B143)&gt;0),ИНФА!$F$31,0),0))</f>
        <v/>
      </c>
    </row>
    <row r="144" customFormat="false" ht="15" hidden="false" customHeight="false" outlineLevel="0" collapsed="false">
      <c r="A144" s="15" t="n">
        <v>140</v>
      </c>
      <c r="B144" s="44"/>
      <c r="C144" s="44"/>
      <c r="D144" s="44"/>
      <c r="E144" s="44"/>
      <c r="F144" s="43"/>
      <c r="G144" s="38" t="str">
        <f aca="false">IF($C144="","",IF($F144&lt;&gt;"",$F144,INDEX(ИНФА!$M$5:$M$19,MATCH($C144,ИНФА!$I$5:$I$19,0))))</f>
        <v/>
      </c>
      <c r="H144" s="43"/>
      <c r="I144" s="38" t="str">
        <f aca="false">IF($C144="","",G144-N(H144))</f>
        <v/>
      </c>
      <c r="J144" s="37" t="str">
        <f aca="false">IF($C144="","",INDEX(ИНФА!$J$5:$J$19,MATCH($C144,ИНФА!$I$5:$I$19,0)))</f>
        <v/>
      </c>
      <c r="K144" s="37" t="str">
        <f aca="false">IF($C144="","",INDEX(ИНФА!$K$5:$K$19,MATCH($C144,ИНФА!$I$5:$I$19,0)))</f>
        <v/>
      </c>
      <c r="L144" s="38" t="str">
        <f aca="false">IF($C144="","",INDEX(ИНФА!$O$5:$O$19,MATCH($C144,ИНФА!$I$5:$I$19,0)))</f>
        <v/>
      </c>
      <c r="M144" s="38" t="str">
        <f aca="false">IF($C144="","",INDEX(ИНФА!$P$5:$P$19,MATCH($C144,ИНФА!$I$5:$I$19,0)))</f>
        <v/>
      </c>
      <c r="N144" s="44"/>
      <c r="O144" s="48" t="n">
        <f aca="false">IF(OR($C144="",$N144=""),1,IF(AND($J144="Услуги",IFERROR(INDEX($C$5:$C$204,MATCH($N144,$A$5:$A$204,0))=INDEX(ИНФА!$L$5:$L$19,MATCH($C144,ИНФА!$I$5:$I$19,0)),FALSE()),IFERROR(INDEX($W$5:$W$204,MATCH($N144,$A$5:$A$204,0))=1,FALSE()),COUNTIF($N$5:$N144,$N144)&lt;=ИНФА!$F$16),1+ИНФА!$F$15,1))</f>
        <v>1</v>
      </c>
      <c r="P144" s="47" t="str">
        <f aca="false">IF($C144="","",IF($J144&lt;&gt;"Услуги","",IF($N144="","нет поставщика — нужен "&amp;INDEX(ИНФА!$L$5:$L$19,MATCH($C144,ИНФА!$I$5:$I$19,0)),IF($O144&gt;1,"✓ поставка работает (+50%)",IF(IFERROR(INDEX($C$5:$C$204,MATCH($N144,$A$5:$A$204,0))&lt;&gt;INDEX(ИНФА!$L$5:$L$19,MATCH($C144,ИНФА!$I$5:$I$19,0)),TRUE()),"не тот поставщик: нужен "&amp;INDEX(ИНФА!$L$5:$L$19,MATCH($C144,ИНФА!$I$5:$I$19,0)),IF(COUNTIF($N$5:$N144,$N144)&gt;ИНФА!$F$16,"поставщик перегружен","поставщик ещё не работает или продан"))))))</f>
        <v/>
      </c>
      <c r="Q144" s="44"/>
      <c r="R144" s="48" t="str">
        <f aca="false">IF($C144="","",IF($Q144="",1,IFERROR(INDEX(НАУКА!$K$5:$K$44,MATCH($Q144,НАУКА!$A$5:$A$44,0)),1)))</f>
        <v/>
      </c>
      <c r="S144" s="37" t="str">
        <f aca="false">IF($Q144="","",IFERROR(INDEX(НАУКА!$G$5:$G$44,MATCH($Q144,НАУКА!$A$5:$A$44,0)),""))</f>
        <v/>
      </c>
      <c r="T144" s="44"/>
      <c r="U144" s="44"/>
      <c r="V144" s="43"/>
      <c r="W144" s="37" t="n">
        <f aca="false">IF(OR($C144="",$D144=""),0,IF(AND($D144&lt;ИНФА!$F$5,OR($T144="",$T144&gt;=ИНФА!$F$5)),1,0))</f>
        <v>0</v>
      </c>
      <c r="X144" s="46" t="str">
        <f aca="false">IF($C144="","",INDEX(СОБЫТИЯ!$B$5:$K$8,MATCH($K144,СОБЫТИЯ!$A$5:$A$8,0),ИНФА!$F$5))</f>
        <v/>
      </c>
      <c r="Y144" s="42" t="str">
        <f aca="false">IF($C144="","",IF($W144=1,ROUND($L144*$O144*IF(AND($Q144&lt;&gt;"",$S144&lt;&gt;""),IF($S144&lt;ИНФА!$F$5,$R144,1),1)*$X144,0)-$M144+N($AF144)+N($AG144),0))</f>
        <v/>
      </c>
      <c r="Z144" s="38" t="str">
        <f aca="false">IF($C144="","",IF($T144="",INDEX(ИНФА!$M$5:$M$19,MATCH($C144,ИНФА!$I$5:$I$19,0)),0))</f>
        <v/>
      </c>
      <c r="AA144" s="38" t="str">
        <f aca="false">IF(OR($C144="",$T144=""),"",IF($V144&lt;&gt;"",$V144,INDEX(ИНФА!$N$5:$N$19,MATCH($C144,ИНФА!$I$5:$I$19,0))))</f>
        <v/>
      </c>
      <c r="AB144" s="37" t="str">
        <f aca="false">IF($C144="","",IF($T144&lt;&gt;"",IF($U144&lt;&gt;"","продано компании "&amp;$U144&amp;" в цикле "&amp;$T144,"продано Инфраструктуре в цикле "&amp;$T144),IF($D144&gt;=ИНФА!$F$5,"доход со следующего цикла","приносит доход")))</f>
        <v/>
      </c>
      <c r="AC144" s="47" t="str">
        <f aca="false">IF($C144="","",IF($F144="","",IF($E144="","укажите продавца; ",IF(OR($F144&lt;INDEX(ИНФА!$N$5:$N$19,MATCH($C144,ИНФА!$I$5:$I$19,0)),$F144&gt;INDEX(ИНФА!$M$5:$M$19,MATCH($C144,ИНФА!$I$5:$I$19,0))),"цена покупки вне коридора! ","")))&amp;IF($U144="","",IF(OR($V144="",$T144=""),"укажите цикл и цену продажи; ",IF(OR($V144&lt;INDEX(ИНФА!$N$5:$N$19,MATCH($C144,ИНФА!$I$5:$I$19,0)),$V144&gt;INDEX(ИНФА!$M$5:$M$19,MATCH($C144,ИНФА!$I$5:$I$19,0))),"цена продажи вне коридора! ","")))&amp;IF(AND($T144="",COUNTIFS($C$5:$C144,$C144,$T$5:$T144,"")&gt;INDEX(ИНФА!$Q$5:$Q$19,MATCH($C144,ИНФА!$I$5:$I$19,0))),"лотов нет! ","")&amp;IF(AND($E144&lt;&gt;"",$F144=""),"укажите цену сделки; ","")&amp;IF(AND(N($H144)&gt;0,OR($AD144="",$AD144="Профессия"),OR($H144&gt;ИНФА!$F$29,$I144&lt;INDEX(ИНФА!$N$5:$N$19,MATCH($C144,ИНФА!$I$5:$I$19,0))+ИНФА!$F$30)),"скидка больше лимита или цена ниже выкупа + 500! ","")&amp;IF($AE144="","",IF(IFERROR(INDEX($B$5:$B$204,MATCH($AE144,$A$5:$A$204,0))=$B144,TRUE()),"бизнес-пара — только со зданием другой компании; ",""))&amp;IF($Q144="","",IF(IFERROR(INDEX(НАУКА!$B$5:$B$44,MATCH($Q144,НАУКА!$A$5:$A$44,0))&lt;&gt;$B144,FALSE()),"патент другой компании — нужна лицензия или соглашение; ","")))</f>
        <v/>
      </c>
      <c r="AD144" s="44"/>
      <c r="AE144" s="44"/>
      <c r="AF144" s="38" t="str">
        <f aca="false">IF($C144="","",IF(AND($W144=1,OR($C144="Дом",$C144="Кафе")),ИНФА!$F$17*(COUNTIFS($B$5:$B144,$B144,$C$5:$C144,$C144,$W$5:$W144,1)&lt;=COUNTIFS($B$5:$B$204,$B144,$C$5:$C$204,"Парк",$W$5:$W$204,1)),0))</f>
        <v/>
      </c>
      <c r="AG144" s="38" t="str">
        <f aca="false">IF($C144="","",IF($W144=1,IF(OR(AND($AE144&lt;&gt;"",IFERROR(INDEX($W$5:$W$204,MATCH($AE144,$A$5:$A$204,0))=1,FALSE()),IFERROR(INDEX($B$5:$B$204,MATCH($AE144,$A$5:$A$204,0))&lt;&gt;$B144,FALSE())),COUNTIFS($AE$5:$AE$204,$A144,$W$5:$W$204,1,$B$5:$B$204,"&lt;&gt;"&amp;$B144)&gt;0),ИНФА!$F$31,0),0))</f>
        <v/>
      </c>
    </row>
    <row r="145" customFormat="false" ht="15" hidden="false" customHeight="false" outlineLevel="0" collapsed="false">
      <c r="A145" s="15" t="n">
        <v>141</v>
      </c>
      <c r="B145" s="44"/>
      <c r="C145" s="44"/>
      <c r="D145" s="44"/>
      <c r="E145" s="44"/>
      <c r="F145" s="43"/>
      <c r="G145" s="38" t="str">
        <f aca="false">IF($C145="","",IF($F145&lt;&gt;"",$F145,INDEX(ИНФА!$M$5:$M$19,MATCH($C145,ИНФА!$I$5:$I$19,0))))</f>
        <v/>
      </c>
      <c r="H145" s="43"/>
      <c r="I145" s="38" t="str">
        <f aca="false">IF($C145="","",G145-N(H145))</f>
        <v/>
      </c>
      <c r="J145" s="37" t="str">
        <f aca="false">IF($C145="","",INDEX(ИНФА!$J$5:$J$19,MATCH($C145,ИНФА!$I$5:$I$19,0)))</f>
        <v/>
      </c>
      <c r="K145" s="37" t="str">
        <f aca="false">IF($C145="","",INDEX(ИНФА!$K$5:$K$19,MATCH($C145,ИНФА!$I$5:$I$19,0)))</f>
        <v/>
      </c>
      <c r="L145" s="38" t="str">
        <f aca="false">IF($C145="","",INDEX(ИНФА!$O$5:$O$19,MATCH($C145,ИНФА!$I$5:$I$19,0)))</f>
        <v/>
      </c>
      <c r="M145" s="38" t="str">
        <f aca="false">IF($C145="","",INDEX(ИНФА!$P$5:$P$19,MATCH($C145,ИНФА!$I$5:$I$19,0)))</f>
        <v/>
      </c>
      <c r="N145" s="44"/>
      <c r="O145" s="48" t="n">
        <f aca="false">IF(OR($C145="",$N145=""),1,IF(AND($J145="Услуги",IFERROR(INDEX($C$5:$C$204,MATCH($N145,$A$5:$A$204,0))=INDEX(ИНФА!$L$5:$L$19,MATCH($C145,ИНФА!$I$5:$I$19,0)),FALSE()),IFERROR(INDEX($W$5:$W$204,MATCH($N145,$A$5:$A$204,0))=1,FALSE()),COUNTIF($N$5:$N145,$N145)&lt;=ИНФА!$F$16),1+ИНФА!$F$15,1))</f>
        <v>1</v>
      </c>
      <c r="P145" s="47" t="str">
        <f aca="false">IF($C145="","",IF($J145&lt;&gt;"Услуги","",IF($N145="","нет поставщика — нужен "&amp;INDEX(ИНФА!$L$5:$L$19,MATCH($C145,ИНФА!$I$5:$I$19,0)),IF($O145&gt;1,"✓ поставка работает (+50%)",IF(IFERROR(INDEX($C$5:$C$204,MATCH($N145,$A$5:$A$204,0))&lt;&gt;INDEX(ИНФА!$L$5:$L$19,MATCH($C145,ИНФА!$I$5:$I$19,0)),TRUE()),"не тот поставщик: нужен "&amp;INDEX(ИНФА!$L$5:$L$19,MATCH($C145,ИНФА!$I$5:$I$19,0)),IF(COUNTIF($N$5:$N145,$N145)&gt;ИНФА!$F$16,"поставщик перегружен","поставщик ещё не работает или продан"))))))</f>
        <v/>
      </c>
      <c r="Q145" s="44"/>
      <c r="R145" s="48" t="str">
        <f aca="false">IF($C145="","",IF($Q145="",1,IFERROR(INDEX(НАУКА!$K$5:$K$44,MATCH($Q145,НАУКА!$A$5:$A$44,0)),1)))</f>
        <v/>
      </c>
      <c r="S145" s="37" t="str">
        <f aca="false">IF($Q145="","",IFERROR(INDEX(НАУКА!$G$5:$G$44,MATCH($Q145,НАУКА!$A$5:$A$44,0)),""))</f>
        <v/>
      </c>
      <c r="T145" s="44"/>
      <c r="U145" s="44"/>
      <c r="V145" s="43"/>
      <c r="W145" s="37" t="n">
        <f aca="false">IF(OR($C145="",$D145=""),0,IF(AND($D145&lt;ИНФА!$F$5,OR($T145="",$T145&gt;=ИНФА!$F$5)),1,0))</f>
        <v>0</v>
      </c>
      <c r="X145" s="46" t="str">
        <f aca="false">IF($C145="","",INDEX(СОБЫТИЯ!$B$5:$K$8,MATCH($K145,СОБЫТИЯ!$A$5:$A$8,0),ИНФА!$F$5))</f>
        <v/>
      </c>
      <c r="Y145" s="42" t="str">
        <f aca="false">IF($C145="","",IF($W145=1,ROUND($L145*$O145*IF(AND($Q145&lt;&gt;"",$S145&lt;&gt;""),IF($S145&lt;ИНФА!$F$5,$R145,1),1)*$X145,0)-$M145+N($AF145)+N($AG145),0))</f>
        <v/>
      </c>
      <c r="Z145" s="38" t="str">
        <f aca="false">IF($C145="","",IF($T145="",INDEX(ИНФА!$M$5:$M$19,MATCH($C145,ИНФА!$I$5:$I$19,0)),0))</f>
        <v/>
      </c>
      <c r="AA145" s="38" t="str">
        <f aca="false">IF(OR($C145="",$T145=""),"",IF($V145&lt;&gt;"",$V145,INDEX(ИНФА!$N$5:$N$19,MATCH($C145,ИНФА!$I$5:$I$19,0))))</f>
        <v/>
      </c>
      <c r="AB145" s="37" t="str">
        <f aca="false">IF($C145="","",IF($T145&lt;&gt;"",IF($U145&lt;&gt;"","продано компании "&amp;$U145&amp;" в цикле "&amp;$T145,"продано Инфраструктуре в цикле "&amp;$T145),IF($D145&gt;=ИНФА!$F$5,"доход со следующего цикла","приносит доход")))</f>
        <v/>
      </c>
      <c r="AC145" s="47" t="str">
        <f aca="false">IF($C145="","",IF($F145="","",IF($E145="","укажите продавца; ",IF(OR($F145&lt;INDEX(ИНФА!$N$5:$N$19,MATCH($C145,ИНФА!$I$5:$I$19,0)),$F145&gt;INDEX(ИНФА!$M$5:$M$19,MATCH($C145,ИНФА!$I$5:$I$19,0))),"цена покупки вне коридора! ","")))&amp;IF($U145="","",IF(OR($V145="",$T145=""),"укажите цикл и цену продажи; ",IF(OR($V145&lt;INDEX(ИНФА!$N$5:$N$19,MATCH($C145,ИНФА!$I$5:$I$19,0)),$V145&gt;INDEX(ИНФА!$M$5:$M$19,MATCH($C145,ИНФА!$I$5:$I$19,0))),"цена продажи вне коридора! ","")))&amp;IF(AND($T145="",COUNTIFS($C$5:$C145,$C145,$T$5:$T145,"")&gt;INDEX(ИНФА!$Q$5:$Q$19,MATCH($C145,ИНФА!$I$5:$I$19,0))),"лотов нет! ","")&amp;IF(AND($E145&lt;&gt;"",$F145=""),"укажите цену сделки; ","")&amp;IF(AND(N($H145)&gt;0,OR($AD145="",$AD145="Профессия"),OR($H145&gt;ИНФА!$F$29,$I145&lt;INDEX(ИНФА!$N$5:$N$19,MATCH($C145,ИНФА!$I$5:$I$19,0))+ИНФА!$F$30)),"скидка больше лимита или цена ниже выкупа + 500! ","")&amp;IF($AE145="","",IF(IFERROR(INDEX($B$5:$B$204,MATCH($AE145,$A$5:$A$204,0))=$B145,TRUE()),"бизнес-пара — только со зданием другой компании; ",""))&amp;IF($Q145="","",IF(IFERROR(INDEX(НАУКА!$B$5:$B$44,MATCH($Q145,НАУКА!$A$5:$A$44,0))&lt;&gt;$B145,FALSE()),"патент другой компании — нужна лицензия или соглашение; ","")))</f>
        <v/>
      </c>
      <c r="AD145" s="44"/>
      <c r="AE145" s="44"/>
      <c r="AF145" s="38" t="str">
        <f aca="false">IF($C145="","",IF(AND($W145=1,OR($C145="Дом",$C145="Кафе")),ИНФА!$F$17*(COUNTIFS($B$5:$B145,$B145,$C$5:$C145,$C145,$W$5:$W145,1)&lt;=COUNTIFS($B$5:$B$204,$B145,$C$5:$C$204,"Парк",$W$5:$W$204,1)),0))</f>
        <v/>
      </c>
      <c r="AG145" s="38" t="str">
        <f aca="false">IF($C145="","",IF($W145=1,IF(OR(AND($AE145&lt;&gt;"",IFERROR(INDEX($W$5:$W$204,MATCH($AE145,$A$5:$A$204,0))=1,FALSE()),IFERROR(INDEX($B$5:$B$204,MATCH($AE145,$A$5:$A$204,0))&lt;&gt;$B145,FALSE())),COUNTIFS($AE$5:$AE$204,$A145,$W$5:$W$204,1,$B$5:$B$204,"&lt;&gt;"&amp;$B145)&gt;0),ИНФА!$F$31,0),0))</f>
        <v/>
      </c>
    </row>
    <row r="146" customFormat="false" ht="15" hidden="false" customHeight="false" outlineLevel="0" collapsed="false">
      <c r="A146" s="15" t="n">
        <v>142</v>
      </c>
      <c r="B146" s="44"/>
      <c r="C146" s="44"/>
      <c r="D146" s="44"/>
      <c r="E146" s="44"/>
      <c r="F146" s="43"/>
      <c r="G146" s="38" t="str">
        <f aca="false">IF($C146="","",IF($F146&lt;&gt;"",$F146,INDEX(ИНФА!$M$5:$M$19,MATCH($C146,ИНФА!$I$5:$I$19,0))))</f>
        <v/>
      </c>
      <c r="H146" s="43"/>
      <c r="I146" s="38" t="str">
        <f aca="false">IF($C146="","",G146-N(H146))</f>
        <v/>
      </c>
      <c r="J146" s="37" t="str">
        <f aca="false">IF($C146="","",INDEX(ИНФА!$J$5:$J$19,MATCH($C146,ИНФА!$I$5:$I$19,0)))</f>
        <v/>
      </c>
      <c r="K146" s="37" t="str">
        <f aca="false">IF($C146="","",INDEX(ИНФА!$K$5:$K$19,MATCH($C146,ИНФА!$I$5:$I$19,0)))</f>
        <v/>
      </c>
      <c r="L146" s="38" t="str">
        <f aca="false">IF($C146="","",INDEX(ИНФА!$O$5:$O$19,MATCH($C146,ИНФА!$I$5:$I$19,0)))</f>
        <v/>
      </c>
      <c r="M146" s="38" t="str">
        <f aca="false">IF($C146="","",INDEX(ИНФА!$P$5:$P$19,MATCH($C146,ИНФА!$I$5:$I$19,0)))</f>
        <v/>
      </c>
      <c r="N146" s="44"/>
      <c r="O146" s="48" t="n">
        <f aca="false">IF(OR($C146="",$N146=""),1,IF(AND($J146="Услуги",IFERROR(INDEX($C$5:$C$204,MATCH($N146,$A$5:$A$204,0))=INDEX(ИНФА!$L$5:$L$19,MATCH($C146,ИНФА!$I$5:$I$19,0)),FALSE()),IFERROR(INDEX($W$5:$W$204,MATCH($N146,$A$5:$A$204,0))=1,FALSE()),COUNTIF($N$5:$N146,$N146)&lt;=ИНФА!$F$16),1+ИНФА!$F$15,1))</f>
        <v>1</v>
      </c>
      <c r="P146" s="47" t="str">
        <f aca="false">IF($C146="","",IF($J146&lt;&gt;"Услуги","",IF($N146="","нет поставщика — нужен "&amp;INDEX(ИНФА!$L$5:$L$19,MATCH($C146,ИНФА!$I$5:$I$19,0)),IF($O146&gt;1,"✓ поставка работает (+50%)",IF(IFERROR(INDEX($C$5:$C$204,MATCH($N146,$A$5:$A$204,0))&lt;&gt;INDEX(ИНФА!$L$5:$L$19,MATCH($C146,ИНФА!$I$5:$I$19,0)),TRUE()),"не тот поставщик: нужен "&amp;INDEX(ИНФА!$L$5:$L$19,MATCH($C146,ИНФА!$I$5:$I$19,0)),IF(COUNTIF($N$5:$N146,$N146)&gt;ИНФА!$F$16,"поставщик перегружен","поставщик ещё не работает или продан"))))))</f>
        <v/>
      </c>
      <c r="Q146" s="44"/>
      <c r="R146" s="48" t="str">
        <f aca="false">IF($C146="","",IF($Q146="",1,IFERROR(INDEX(НАУКА!$K$5:$K$44,MATCH($Q146,НАУКА!$A$5:$A$44,0)),1)))</f>
        <v/>
      </c>
      <c r="S146" s="37" t="str">
        <f aca="false">IF($Q146="","",IFERROR(INDEX(НАУКА!$G$5:$G$44,MATCH($Q146,НАУКА!$A$5:$A$44,0)),""))</f>
        <v/>
      </c>
      <c r="T146" s="44"/>
      <c r="U146" s="44"/>
      <c r="V146" s="43"/>
      <c r="W146" s="37" t="n">
        <f aca="false">IF(OR($C146="",$D146=""),0,IF(AND($D146&lt;ИНФА!$F$5,OR($T146="",$T146&gt;=ИНФА!$F$5)),1,0))</f>
        <v>0</v>
      </c>
      <c r="X146" s="46" t="str">
        <f aca="false">IF($C146="","",INDEX(СОБЫТИЯ!$B$5:$K$8,MATCH($K146,СОБЫТИЯ!$A$5:$A$8,0),ИНФА!$F$5))</f>
        <v/>
      </c>
      <c r="Y146" s="42" t="str">
        <f aca="false">IF($C146="","",IF($W146=1,ROUND($L146*$O146*IF(AND($Q146&lt;&gt;"",$S146&lt;&gt;""),IF($S146&lt;ИНФА!$F$5,$R146,1),1)*$X146,0)-$M146+N($AF146)+N($AG146),0))</f>
        <v/>
      </c>
      <c r="Z146" s="38" t="str">
        <f aca="false">IF($C146="","",IF($T146="",INDEX(ИНФА!$M$5:$M$19,MATCH($C146,ИНФА!$I$5:$I$19,0)),0))</f>
        <v/>
      </c>
      <c r="AA146" s="38" t="str">
        <f aca="false">IF(OR($C146="",$T146=""),"",IF($V146&lt;&gt;"",$V146,INDEX(ИНФА!$N$5:$N$19,MATCH($C146,ИНФА!$I$5:$I$19,0))))</f>
        <v/>
      </c>
      <c r="AB146" s="37" t="str">
        <f aca="false">IF($C146="","",IF($T146&lt;&gt;"",IF($U146&lt;&gt;"","продано компании "&amp;$U146&amp;" в цикле "&amp;$T146,"продано Инфраструктуре в цикле "&amp;$T146),IF($D146&gt;=ИНФА!$F$5,"доход со следующего цикла","приносит доход")))</f>
        <v/>
      </c>
      <c r="AC146" s="47" t="str">
        <f aca="false">IF($C146="","",IF($F146="","",IF($E146="","укажите продавца; ",IF(OR($F146&lt;INDEX(ИНФА!$N$5:$N$19,MATCH($C146,ИНФА!$I$5:$I$19,0)),$F146&gt;INDEX(ИНФА!$M$5:$M$19,MATCH($C146,ИНФА!$I$5:$I$19,0))),"цена покупки вне коридора! ","")))&amp;IF($U146="","",IF(OR($V146="",$T146=""),"укажите цикл и цену продажи; ",IF(OR($V146&lt;INDEX(ИНФА!$N$5:$N$19,MATCH($C146,ИНФА!$I$5:$I$19,0)),$V146&gt;INDEX(ИНФА!$M$5:$M$19,MATCH($C146,ИНФА!$I$5:$I$19,0))),"цена продажи вне коридора! ","")))&amp;IF(AND($T146="",COUNTIFS($C$5:$C146,$C146,$T$5:$T146,"")&gt;INDEX(ИНФА!$Q$5:$Q$19,MATCH($C146,ИНФА!$I$5:$I$19,0))),"лотов нет! ","")&amp;IF(AND($E146&lt;&gt;"",$F146=""),"укажите цену сделки; ","")&amp;IF(AND(N($H146)&gt;0,OR($AD146="",$AD146="Профессия"),OR($H146&gt;ИНФА!$F$29,$I146&lt;INDEX(ИНФА!$N$5:$N$19,MATCH($C146,ИНФА!$I$5:$I$19,0))+ИНФА!$F$30)),"скидка больше лимита или цена ниже выкупа + 500! ","")&amp;IF($AE146="","",IF(IFERROR(INDEX($B$5:$B$204,MATCH($AE146,$A$5:$A$204,0))=$B146,TRUE()),"бизнес-пара — только со зданием другой компании; ",""))&amp;IF($Q146="","",IF(IFERROR(INDEX(НАУКА!$B$5:$B$44,MATCH($Q146,НАУКА!$A$5:$A$44,0))&lt;&gt;$B146,FALSE()),"патент другой компании — нужна лицензия или соглашение; ","")))</f>
        <v/>
      </c>
      <c r="AD146" s="44"/>
      <c r="AE146" s="44"/>
      <c r="AF146" s="38" t="str">
        <f aca="false">IF($C146="","",IF(AND($W146=1,OR($C146="Дом",$C146="Кафе")),ИНФА!$F$17*(COUNTIFS($B$5:$B146,$B146,$C$5:$C146,$C146,$W$5:$W146,1)&lt;=COUNTIFS($B$5:$B$204,$B146,$C$5:$C$204,"Парк",$W$5:$W$204,1)),0))</f>
        <v/>
      </c>
      <c r="AG146" s="38" t="str">
        <f aca="false">IF($C146="","",IF($W146=1,IF(OR(AND($AE146&lt;&gt;"",IFERROR(INDEX($W$5:$W$204,MATCH($AE146,$A$5:$A$204,0))=1,FALSE()),IFERROR(INDEX($B$5:$B$204,MATCH($AE146,$A$5:$A$204,0))&lt;&gt;$B146,FALSE())),COUNTIFS($AE$5:$AE$204,$A146,$W$5:$W$204,1,$B$5:$B$204,"&lt;&gt;"&amp;$B146)&gt;0),ИНФА!$F$31,0),0))</f>
        <v/>
      </c>
    </row>
    <row r="147" customFormat="false" ht="15" hidden="false" customHeight="false" outlineLevel="0" collapsed="false">
      <c r="A147" s="15" t="n">
        <v>143</v>
      </c>
      <c r="B147" s="44"/>
      <c r="C147" s="44"/>
      <c r="D147" s="44"/>
      <c r="E147" s="44"/>
      <c r="F147" s="43"/>
      <c r="G147" s="38" t="str">
        <f aca="false">IF($C147="","",IF($F147&lt;&gt;"",$F147,INDEX(ИНФА!$M$5:$M$19,MATCH($C147,ИНФА!$I$5:$I$19,0))))</f>
        <v/>
      </c>
      <c r="H147" s="43"/>
      <c r="I147" s="38" t="str">
        <f aca="false">IF($C147="","",G147-N(H147))</f>
        <v/>
      </c>
      <c r="J147" s="37" t="str">
        <f aca="false">IF($C147="","",INDEX(ИНФА!$J$5:$J$19,MATCH($C147,ИНФА!$I$5:$I$19,0)))</f>
        <v/>
      </c>
      <c r="K147" s="37" t="str">
        <f aca="false">IF($C147="","",INDEX(ИНФА!$K$5:$K$19,MATCH($C147,ИНФА!$I$5:$I$19,0)))</f>
        <v/>
      </c>
      <c r="L147" s="38" t="str">
        <f aca="false">IF($C147="","",INDEX(ИНФА!$O$5:$O$19,MATCH($C147,ИНФА!$I$5:$I$19,0)))</f>
        <v/>
      </c>
      <c r="M147" s="38" t="str">
        <f aca="false">IF($C147="","",INDEX(ИНФА!$P$5:$P$19,MATCH($C147,ИНФА!$I$5:$I$19,0)))</f>
        <v/>
      </c>
      <c r="N147" s="44"/>
      <c r="O147" s="48" t="n">
        <f aca="false">IF(OR($C147="",$N147=""),1,IF(AND($J147="Услуги",IFERROR(INDEX($C$5:$C$204,MATCH($N147,$A$5:$A$204,0))=INDEX(ИНФА!$L$5:$L$19,MATCH($C147,ИНФА!$I$5:$I$19,0)),FALSE()),IFERROR(INDEX($W$5:$W$204,MATCH($N147,$A$5:$A$204,0))=1,FALSE()),COUNTIF($N$5:$N147,$N147)&lt;=ИНФА!$F$16),1+ИНФА!$F$15,1))</f>
        <v>1</v>
      </c>
      <c r="P147" s="47" t="str">
        <f aca="false">IF($C147="","",IF($J147&lt;&gt;"Услуги","",IF($N147="","нет поставщика — нужен "&amp;INDEX(ИНФА!$L$5:$L$19,MATCH($C147,ИНФА!$I$5:$I$19,0)),IF($O147&gt;1,"✓ поставка работает (+50%)",IF(IFERROR(INDEX($C$5:$C$204,MATCH($N147,$A$5:$A$204,0))&lt;&gt;INDEX(ИНФА!$L$5:$L$19,MATCH($C147,ИНФА!$I$5:$I$19,0)),TRUE()),"не тот поставщик: нужен "&amp;INDEX(ИНФА!$L$5:$L$19,MATCH($C147,ИНФА!$I$5:$I$19,0)),IF(COUNTIF($N$5:$N147,$N147)&gt;ИНФА!$F$16,"поставщик перегружен","поставщик ещё не работает или продан"))))))</f>
        <v/>
      </c>
      <c r="Q147" s="44"/>
      <c r="R147" s="48" t="str">
        <f aca="false">IF($C147="","",IF($Q147="",1,IFERROR(INDEX(НАУКА!$K$5:$K$44,MATCH($Q147,НАУКА!$A$5:$A$44,0)),1)))</f>
        <v/>
      </c>
      <c r="S147" s="37" t="str">
        <f aca="false">IF($Q147="","",IFERROR(INDEX(НАУКА!$G$5:$G$44,MATCH($Q147,НАУКА!$A$5:$A$44,0)),""))</f>
        <v/>
      </c>
      <c r="T147" s="44"/>
      <c r="U147" s="44"/>
      <c r="V147" s="43"/>
      <c r="W147" s="37" t="n">
        <f aca="false">IF(OR($C147="",$D147=""),0,IF(AND($D147&lt;ИНФА!$F$5,OR($T147="",$T147&gt;=ИНФА!$F$5)),1,0))</f>
        <v>0</v>
      </c>
      <c r="X147" s="46" t="str">
        <f aca="false">IF($C147="","",INDEX(СОБЫТИЯ!$B$5:$K$8,MATCH($K147,СОБЫТИЯ!$A$5:$A$8,0),ИНФА!$F$5))</f>
        <v/>
      </c>
      <c r="Y147" s="42" t="str">
        <f aca="false">IF($C147="","",IF($W147=1,ROUND($L147*$O147*IF(AND($Q147&lt;&gt;"",$S147&lt;&gt;""),IF($S147&lt;ИНФА!$F$5,$R147,1),1)*$X147,0)-$M147+N($AF147)+N($AG147),0))</f>
        <v/>
      </c>
      <c r="Z147" s="38" t="str">
        <f aca="false">IF($C147="","",IF($T147="",INDEX(ИНФА!$M$5:$M$19,MATCH($C147,ИНФА!$I$5:$I$19,0)),0))</f>
        <v/>
      </c>
      <c r="AA147" s="38" t="str">
        <f aca="false">IF(OR($C147="",$T147=""),"",IF($V147&lt;&gt;"",$V147,INDEX(ИНФА!$N$5:$N$19,MATCH($C147,ИНФА!$I$5:$I$19,0))))</f>
        <v/>
      </c>
      <c r="AB147" s="37" t="str">
        <f aca="false">IF($C147="","",IF($T147&lt;&gt;"",IF($U147&lt;&gt;"","продано компании "&amp;$U147&amp;" в цикле "&amp;$T147,"продано Инфраструктуре в цикле "&amp;$T147),IF($D147&gt;=ИНФА!$F$5,"доход со следующего цикла","приносит доход")))</f>
        <v/>
      </c>
      <c r="AC147" s="47" t="str">
        <f aca="false">IF($C147="","",IF($F147="","",IF($E147="","укажите продавца; ",IF(OR($F147&lt;INDEX(ИНФА!$N$5:$N$19,MATCH($C147,ИНФА!$I$5:$I$19,0)),$F147&gt;INDEX(ИНФА!$M$5:$M$19,MATCH($C147,ИНФА!$I$5:$I$19,0))),"цена покупки вне коридора! ","")))&amp;IF($U147="","",IF(OR($V147="",$T147=""),"укажите цикл и цену продажи; ",IF(OR($V147&lt;INDEX(ИНФА!$N$5:$N$19,MATCH($C147,ИНФА!$I$5:$I$19,0)),$V147&gt;INDEX(ИНФА!$M$5:$M$19,MATCH($C147,ИНФА!$I$5:$I$19,0))),"цена продажи вне коридора! ","")))&amp;IF(AND($T147="",COUNTIFS($C$5:$C147,$C147,$T$5:$T147,"")&gt;INDEX(ИНФА!$Q$5:$Q$19,MATCH($C147,ИНФА!$I$5:$I$19,0))),"лотов нет! ","")&amp;IF(AND($E147&lt;&gt;"",$F147=""),"укажите цену сделки; ","")&amp;IF(AND(N($H147)&gt;0,OR($AD147="",$AD147="Профессия"),OR($H147&gt;ИНФА!$F$29,$I147&lt;INDEX(ИНФА!$N$5:$N$19,MATCH($C147,ИНФА!$I$5:$I$19,0))+ИНФА!$F$30)),"скидка больше лимита или цена ниже выкупа + 500! ","")&amp;IF($AE147="","",IF(IFERROR(INDEX($B$5:$B$204,MATCH($AE147,$A$5:$A$204,0))=$B147,TRUE()),"бизнес-пара — только со зданием другой компании; ",""))&amp;IF($Q147="","",IF(IFERROR(INDEX(НАУКА!$B$5:$B$44,MATCH($Q147,НАУКА!$A$5:$A$44,0))&lt;&gt;$B147,FALSE()),"патент другой компании — нужна лицензия или соглашение; ","")))</f>
        <v/>
      </c>
      <c r="AD147" s="44"/>
      <c r="AE147" s="44"/>
      <c r="AF147" s="38" t="str">
        <f aca="false">IF($C147="","",IF(AND($W147=1,OR($C147="Дом",$C147="Кафе")),ИНФА!$F$17*(COUNTIFS($B$5:$B147,$B147,$C$5:$C147,$C147,$W$5:$W147,1)&lt;=COUNTIFS($B$5:$B$204,$B147,$C$5:$C$204,"Парк",$W$5:$W$204,1)),0))</f>
        <v/>
      </c>
      <c r="AG147" s="38" t="str">
        <f aca="false">IF($C147="","",IF($W147=1,IF(OR(AND($AE147&lt;&gt;"",IFERROR(INDEX($W$5:$W$204,MATCH($AE147,$A$5:$A$204,0))=1,FALSE()),IFERROR(INDEX($B$5:$B$204,MATCH($AE147,$A$5:$A$204,0))&lt;&gt;$B147,FALSE())),COUNTIFS($AE$5:$AE$204,$A147,$W$5:$W$204,1,$B$5:$B$204,"&lt;&gt;"&amp;$B147)&gt;0),ИНФА!$F$31,0),0))</f>
        <v/>
      </c>
    </row>
    <row r="148" customFormat="false" ht="15" hidden="false" customHeight="false" outlineLevel="0" collapsed="false">
      <c r="A148" s="15" t="n">
        <v>144</v>
      </c>
      <c r="B148" s="44"/>
      <c r="C148" s="44"/>
      <c r="D148" s="44"/>
      <c r="E148" s="44"/>
      <c r="F148" s="43"/>
      <c r="G148" s="38" t="str">
        <f aca="false">IF($C148="","",IF($F148&lt;&gt;"",$F148,INDEX(ИНФА!$M$5:$M$19,MATCH($C148,ИНФА!$I$5:$I$19,0))))</f>
        <v/>
      </c>
      <c r="H148" s="43"/>
      <c r="I148" s="38" t="str">
        <f aca="false">IF($C148="","",G148-N(H148))</f>
        <v/>
      </c>
      <c r="J148" s="37" t="str">
        <f aca="false">IF($C148="","",INDEX(ИНФА!$J$5:$J$19,MATCH($C148,ИНФА!$I$5:$I$19,0)))</f>
        <v/>
      </c>
      <c r="K148" s="37" t="str">
        <f aca="false">IF($C148="","",INDEX(ИНФА!$K$5:$K$19,MATCH($C148,ИНФА!$I$5:$I$19,0)))</f>
        <v/>
      </c>
      <c r="L148" s="38" t="str">
        <f aca="false">IF($C148="","",INDEX(ИНФА!$O$5:$O$19,MATCH($C148,ИНФА!$I$5:$I$19,0)))</f>
        <v/>
      </c>
      <c r="M148" s="38" t="str">
        <f aca="false">IF($C148="","",INDEX(ИНФА!$P$5:$P$19,MATCH($C148,ИНФА!$I$5:$I$19,0)))</f>
        <v/>
      </c>
      <c r="N148" s="44"/>
      <c r="O148" s="48" t="n">
        <f aca="false">IF(OR($C148="",$N148=""),1,IF(AND($J148="Услуги",IFERROR(INDEX($C$5:$C$204,MATCH($N148,$A$5:$A$204,0))=INDEX(ИНФА!$L$5:$L$19,MATCH($C148,ИНФА!$I$5:$I$19,0)),FALSE()),IFERROR(INDEX($W$5:$W$204,MATCH($N148,$A$5:$A$204,0))=1,FALSE()),COUNTIF($N$5:$N148,$N148)&lt;=ИНФА!$F$16),1+ИНФА!$F$15,1))</f>
        <v>1</v>
      </c>
      <c r="P148" s="47" t="str">
        <f aca="false">IF($C148="","",IF($J148&lt;&gt;"Услуги","",IF($N148="","нет поставщика — нужен "&amp;INDEX(ИНФА!$L$5:$L$19,MATCH($C148,ИНФА!$I$5:$I$19,0)),IF($O148&gt;1,"✓ поставка работает (+50%)",IF(IFERROR(INDEX($C$5:$C$204,MATCH($N148,$A$5:$A$204,0))&lt;&gt;INDEX(ИНФА!$L$5:$L$19,MATCH($C148,ИНФА!$I$5:$I$19,0)),TRUE()),"не тот поставщик: нужен "&amp;INDEX(ИНФА!$L$5:$L$19,MATCH($C148,ИНФА!$I$5:$I$19,0)),IF(COUNTIF($N$5:$N148,$N148)&gt;ИНФА!$F$16,"поставщик перегружен","поставщик ещё не работает или продан"))))))</f>
        <v/>
      </c>
      <c r="Q148" s="44"/>
      <c r="R148" s="48" t="str">
        <f aca="false">IF($C148="","",IF($Q148="",1,IFERROR(INDEX(НАУКА!$K$5:$K$44,MATCH($Q148,НАУКА!$A$5:$A$44,0)),1)))</f>
        <v/>
      </c>
      <c r="S148" s="37" t="str">
        <f aca="false">IF($Q148="","",IFERROR(INDEX(НАУКА!$G$5:$G$44,MATCH($Q148,НАУКА!$A$5:$A$44,0)),""))</f>
        <v/>
      </c>
      <c r="T148" s="44"/>
      <c r="U148" s="44"/>
      <c r="V148" s="43"/>
      <c r="W148" s="37" t="n">
        <f aca="false">IF(OR($C148="",$D148=""),0,IF(AND($D148&lt;ИНФА!$F$5,OR($T148="",$T148&gt;=ИНФА!$F$5)),1,0))</f>
        <v>0</v>
      </c>
      <c r="X148" s="46" t="str">
        <f aca="false">IF($C148="","",INDEX(СОБЫТИЯ!$B$5:$K$8,MATCH($K148,СОБЫТИЯ!$A$5:$A$8,0),ИНФА!$F$5))</f>
        <v/>
      </c>
      <c r="Y148" s="42" t="str">
        <f aca="false">IF($C148="","",IF($W148=1,ROUND($L148*$O148*IF(AND($Q148&lt;&gt;"",$S148&lt;&gt;""),IF($S148&lt;ИНФА!$F$5,$R148,1),1)*$X148,0)-$M148+N($AF148)+N($AG148),0))</f>
        <v/>
      </c>
      <c r="Z148" s="38" t="str">
        <f aca="false">IF($C148="","",IF($T148="",INDEX(ИНФА!$M$5:$M$19,MATCH($C148,ИНФА!$I$5:$I$19,0)),0))</f>
        <v/>
      </c>
      <c r="AA148" s="38" t="str">
        <f aca="false">IF(OR($C148="",$T148=""),"",IF($V148&lt;&gt;"",$V148,INDEX(ИНФА!$N$5:$N$19,MATCH($C148,ИНФА!$I$5:$I$19,0))))</f>
        <v/>
      </c>
      <c r="AB148" s="37" t="str">
        <f aca="false">IF($C148="","",IF($T148&lt;&gt;"",IF($U148&lt;&gt;"","продано компании "&amp;$U148&amp;" в цикле "&amp;$T148,"продано Инфраструктуре в цикле "&amp;$T148),IF($D148&gt;=ИНФА!$F$5,"доход со следующего цикла","приносит доход")))</f>
        <v/>
      </c>
      <c r="AC148" s="47" t="str">
        <f aca="false">IF($C148="","",IF($F148="","",IF($E148="","укажите продавца; ",IF(OR($F148&lt;INDEX(ИНФА!$N$5:$N$19,MATCH($C148,ИНФА!$I$5:$I$19,0)),$F148&gt;INDEX(ИНФА!$M$5:$M$19,MATCH($C148,ИНФА!$I$5:$I$19,0))),"цена покупки вне коридора! ","")))&amp;IF($U148="","",IF(OR($V148="",$T148=""),"укажите цикл и цену продажи; ",IF(OR($V148&lt;INDEX(ИНФА!$N$5:$N$19,MATCH($C148,ИНФА!$I$5:$I$19,0)),$V148&gt;INDEX(ИНФА!$M$5:$M$19,MATCH($C148,ИНФА!$I$5:$I$19,0))),"цена продажи вне коридора! ","")))&amp;IF(AND($T148="",COUNTIFS($C$5:$C148,$C148,$T$5:$T148,"")&gt;INDEX(ИНФА!$Q$5:$Q$19,MATCH($C148,ИНФА!$I$5:$I$19,0))),"лотов нет! ","")&amp;IF(AND($E148&lt;&gt;"",$F148=""),"укажите цену сделки; ","")&amp;IF(AND(N($H148)&gt;0,OR($AD148="",$AD148="Профессия"),OR($H148&gt;ИНФА!$F$29,$I148&lt;INDEX(ИНФА!$N$5:$N$19,MATCH($C148,ИНФА!$I$5:$I$19,0))+ИНФА!$F$30)),"скидка больше лимита или цена ниже выкупа + 500! ","")&amp;IF($AE148="","",IF(IFERROR(INDEX($B$5:$B$204,MATCH($AE148,$A$5:$A$204,0))=$B148,TRUE()),"бизнес-пара — только со зданием другой компании; ",""))&amp;IF($Q148="","",IF(IFERROR(INDEX(НАУКА!$B$5:$B$44,MATCH($Q148,НАУКА!$A$5:$A$44,0))&lt;&gt;$B148,FALSE()),"патент другой компании — нужна лицензия или соглашение; ","")))</f>
        <v/>
      </c>
      <c r="AD148" s="44"/>
      <c r="AE148" s="44"/>
      <c r="AF148" s="38" t="str">
        <f aca="false">IF($C148="","",IF(AND($W148=1,OR($C148="Дом",$C148="Кафе")),ИНФА!$F$17*(COUNTIFS($B$5:$B148,$B148,$C$5:$C148,$C148,$W$5:$W148,1)&lt;=COUNTIFS($B$5:$B$204,$B148,$C$5:$C$204,"Парк",$W$5:$W$204,1)),0))</f>
        <v/>
      </c>
      <c r="AG148" s="38" t="str">
        <f aca="false">IF($C148="","",IF($W148=1,IF(OR(AND($AE148&lt;&gt;"",IFERROR(INDEX($W$5:$W$204,MATCH($AE148,$A$5:$A$204,0))=1,FALSE()),IFERROR(INDEX($B$5:$B$204,MATCH($AE148,$A$5:$A$204,0))&lt;&gt;$B148,FALSE())),COUNTIFS($AE$5:$AE$204,$A148,$W$5:$W$204,1,$B$5:$B$204,"&lt;&gt;"&amp;$B148)&gt;0),ИНФА!$F$31,0),0))</f>
        <v/>
      </c>
    </row>
    <row r="149" customFormat="false" ht="15" hidden="false" customHeight="false" outlineLevel="0" collapsed="false">
      <c r="A149" s="15" t="n">
        <v>145</v>
      </c>
      <c r="B149" s="44"/>
      <c r="C149" s="44"/>
      <c r="D149" s="44"/>
      <c r="E149" s="44"/>
      <c r="F149" s="43"/>
      <c r="G149" s="38" t="str">
        <f aca="false">IF($C149="","",IF($F149&lt;&gt;"",$F149,INDEX(ИНФА!$M$5:$M$19,MATCH($C149,ИНФА!$I$5:$I$19,0))))</f>
        <v/>
      </c>
      <c r="H149" s="43"/>
      <c r="I149" s="38" t="str">
        <f aca="false">IF($C149="","",G149-N(H149))</f>
        <v/>
      </c>
      <c r="J149" s="37" t="str">
        <f aca="false">IF($C149="","",INDEX(ИНФА!$J$5:$J$19,MATCH($C149,ИНФА!$I$5:$I$19,0)))</f>
        <v/>
      </c>
      <c r="K149" s="37" t="str">
        <f aca="false">IF($C149="","",INDEX(ИНФА!$K$5:$K$19,MATCH($C149,ИНФА!$I$5:$I$19,0)))</f>
        <v/>
      </c>
      <c r="L149" s="38" t="str">
        <f aca="false">IF($C149="","",INDEX(ИНФА!$O$5:$O$19,MATCH($C149,ИНФА!$I$5:$I$19,0)))</f>
        <v/>
      </c>
      <c r="M149" s="38" t="str">
        <f aca="false">IF($C149="","",INDEX(ИНФА!$P$5:$P$19,MATCH($C149,ИНФА!$I$5:$I$19,0)))</f>
        <v/>
      </c>
      <c r="N149" s="44"/>
      <c r="O149" s="48" t="n">
        <f aca="false">IF(OR($C149="",$N149=""),1,IF(AND($J149="Услуги",IFERROR(INDEX($C$5:$C$204,MATCH($N149,$A$5:$A$204,0))=INDEX(ИНФА!$L$5:$L$19,MATCH($C149,ИНФА!$I$5:$I$19,0)),FALSE()),IFERROR(INDEX($W$5:$W$204,MATCH($N149,$A$5:$A$204,0))=1,FALSE()),COUNTIF($N$5:$N149,$N149)&lt;=ИНФА!$F$16),1+ИНФА!$F$15,1))</f>
        <v>1</v>
      </c>
      <c r="P149" s="47" t="str">
        <f aca="false">IF($C149="","",IF($J149&lt;&gt;"Услуги","",IF($N149="","нет поставщика — нужен "&amp;INDEX(ИНФА!$L$5:$L$19,MATCH($C149,ИНФА!$I$5:$I$19,0)),IF($O149&gt;1,"✓ поставка работает (+50%)",IF(IFERROR(INDEX($C$5:$C$204,MATCH($N149,$A$5:$A$204,0))&lt;&gt;INDEX(ИНФА!$L$5:$L$19,MATCH($C149,ИНФА!$I$5:$I$19,0)),TRUE()),"не тот поставщик: нужен "&amp;INDEX(ИНФА!$L$5:$L$19,MATCH($C149,ИНФА!$I$5:$I$19,0)),IF(COUNTIF($N$5:$N149,$N149)&gt;ИНФА!$F$16,"поставщик перегружен","поставщик ещё не работает или продан"))))))</f>
        <v/>
      </c>
      <c r="Q149" s="44"/>
      <c r="R149" s="48" t="str">
        <f aca="false">IF($C149="","",IF($Q149="",1,IFERROR(INDEX(НАУКА!$K$5:$K$44,MATCH($Q149,НАУКА!$A$5:$A$44,0)),1)))</f>
        <v/>
      </c>
      <c r="S149" s="37" t="str">
        <f aca="false">IF($Q149="","",IFERROR(INDEX(НАУКА!$G$5:$G$44,MATCH($Q149,НАУКА!$A$5:$A$44,0)),""))</f>
        <v/>
      </c>
      <c r="T149" s="44"/>
      <c r="U149" s="44"/>
      <c r="V149" s="43"/>
      <c r="W149" s="37" t="n">
        <f aca="false">IF(OR($C149="",$D149=""),0,IF(AND($D149&lt;ИНФА!$F$5,OR($T149="",$T149&gt;=ИНФА!$F$5)),1,0))</f>
        <v>0</v>
      </c>
      <c r="X149" s="46" t="str">
        <f aca="false">IF($C149="","",INDEX(СОБЫТИЯ!$B$5:$K$8,MATCH($K149,СОБЫТИЯ!$A$5:$A$8,0),ИНФА!$F$5))</f>
        <v/>
      </c>
      <c r="Y149" s="42" t="str">
        <f aca="false">IF($C149="","",IF($W149=1,ROUND($L149*$O149*IF(AND($Q149&lt;&gt;"",$S149&lt;&gt;""),IF($S149&lt;ИНФА!$F$5,$R149,1),1)*$X149,0)-$M149+N($AF149)+N($AG149),0))</f>
        <v/>
      </c>
      <c r="Z149" s="38" t="str">
        <f aca="false">IF($C149="","",IF($T149="",INDEX(ИНФА!$M$5:$M$19,MATCH($C149,ИНФА!$I$5:$I$19,0)),0))</f>
        <v/>
      </c>
      <c r="AA149" s="38" t="str">
        <f aca="false">IF(OR($C149="",$T149=""),"",IF($V149&lt;&gt;"",$V149,INDEX(ИНФА!$N$5:$N$19,MATCH($C149,ИНФА!$I$5:$I$19,0))))</f>
        <v/>
      </c>
      <c r="AB149" s="37" t="str">
        <f aca="false">IF($C149="","",IF($T149&lt;&gt;"",IF($U149&lt;&gt;"","продано компании "&amp;$U149&amp;" в цикле "&amp;$T149,"продано Инфраструктуре в цикле "&amp;$T149),IF($D149&gt;=ИНФА!$F$5,"доход со следующего цикла","приносит доход")))</f>
        <v/>
      </c>
      <c r="AC149" s="47" t="str">
        <f aca="false">IF($C149="","",IF($F149="","",IF($E149="","укажите продавца; ",IF(OR($F149&lt;INDEX(ИНФА!$N$5:$N$19,MATCH($C149,ИНФА!$I$5:$I$19,0)),$F149&gt;INDEX(ИНФА!$M$5:$M$19,MATCH($C149,ИНФА!$I$5:$I$19,0))),"цена покупки вне коридора! ","")))&amp;IF($U149="","",IF(OR($V149="",$T149=""),"укажите цикл и цену продажи; ",IF(OR($V149&lt;INDEX(ИНФА!$N$5:$N$19,MATCH($C149,ИНФА!$I$5:$I$19,0)),$V149&gt;INDEX(ИНФА!$M$5:$M$19,MATCH($C149,ИНФА!$I$5:$I$19,0))),"цена продажи вне коридора! ","")))&amp;IF(AND($T149="",COUNTIFS($C$5:$C149,$C149,$T$5:$T149,"")&gt;INDEX(ИНФА!$Q$5:$Q$19,MATCH($C149,ИНФА!$I$5:$I$19,0))),"лотов нет! ","")&amp;IF(AND($E149&lt;&gt;"",$F149=""),"укажите цену сделки; ","")&amp;IF(AND(N($H149)&gt;0,OR($AD149="",$AD149="Профессия"),OR($H149&gt;ИНФА!$F$29,$I149&lt;INDEX(ИНФА!$N$5:$N$19,MATCH($C149,ИНФА!$I$5:$I$19,0))+ИНФА!$F$30)),"скидка больше лимита или цена ниже выкупа + 500! ","")&amp;IF($AE149="","",IF(IFERROR(INDEX($B$5:$B$204,MATCH($AE149,$A$5:$A$204,0))=$B149,TRUE()),"бизнес-пара — только со зданием другой компании; ",""))&amp;IF($Q149="","",IF(IFERROR(INDEX(НАУКА!$B$5:$B$44,MATCH($Q149,НАУКА!$A$5:$A$44,0))&lt;&gt;$B149,FALSE()),"патент другой компании — нужна лицензия или соглашение; ","")))</f>
        <v/>
      </c>
      <c r="AD149" s="44"/>
      <c r="AE149" s="44"/>
      <c r="AF149" s="38" t="str">
        <f aca="false">IF($C149="","",IF(AND($W149=1,OR($C149="Дом",$C149="Кафе")),ИНФА!$F$17*(COUNTIFS($B$5:$B149,$B149,$C$5:$C149,$C149,$W$5:$W149,1)&lt;=COUNTIFS($B$5:$B$204,$B149,$C$5:$C$204,"Парк",$W$5:$W$204,1)),0))</f>
        <v/>
      </c>
      <c r="AG149" s="38" t="str">
        <f aca="false">IF($C149="","",IF($W149=1,IF(OR(AND($AE149&lt;&gt;"",IFERROR(INDEX($W$5:$W$204,MATCH($AE149,$A$5:$A$204,0))=1,FALSE()),IFERROR(INDEX($B$5:$B$204,MATCH($AE149,$A$5:$A$204,0))&lt;&gt;$B149,FALSE())),COUNTIFS($AE$5:$AE$204,$A149,$W$5:$W$204,1,$B$5:$B$204,"&lt;&gt;"&amp;$B149)&gt;0),ИНФА!$F$31,0),0))</f>
        <v/>
      </c>
    </row>
    <row r="150" customFormat="false" ht="15" hidden="false" customHeight="false" outlineLevel="0" collapsed="false">
      <c r="A150" s="15" t="n">
        <v>146</v>
      </c>
      <c r="B150" s="44"/>
      <c r="C150" s="44"/>
      <c r="D150" s="44"/>
      <c r="E150" s="44"/>
      <c r="F150" s="43"/>
      <c r="G150" s="38" t="str">
        <f aca="false">IF($C150="","",IF($F150&lt;&gt;"",$F150,INDEX(ИНФА!$M$5:$M$19,MATCH($C150,ИНФА!$I$5:$I$19,0))))</f>
        <v/>
      </c>
      <c r="H150" s="43"/>
      <c r="I150" s="38" t="str">
        <f aca="false">IF($C150="","",G150-N(H150))</f>
        <v/>
      </c>
      <c r="J150" s="37" t="str">
        <f aca="false">IF($C150="","",INDEX(ИНФА!$J$5:$J$19,MATCH($C150,ИНФА!$I$5:$I$19,0)))</f>
        <v/>
      </c>
      <c r="K150" s="37" t="str">
        <f aca="false">IF($C150="","",INDEX(ИНФА!$K$5:$K$19,MATCH($C150,ИНФА!$I$5:$I$19,0)))</f>
        <v/>
      </c>
      <c r="L150" s="38" t="str">
        <f aca="false">IF($C150="","",INDEX(ИНФА!$O$5:$O$19,MATCH($C150,ИНФА!$I$5:$I$19,0)))</f>
        <v/>
      </c>
      <c r="M150" s="38" t="str">
        <f aca="false">IF($C150="","",INDEX(ИНФА!$P$5:$P$19,MATCH($C150,ИНФА!$I$5:$I$19,0)))</f>
        <v/>
      </c>
      <c r="N150" s="44"/>
      <c r="O150" s="48" t="n">
        <f aca="false">IF(OR($C150="",$N150=""),1,IF(AND($J150="Услуги",IFERROR(INDEX($C$5:$C$204,MATCH($N150,$A$5:$A$204,0))=INDEX(ИНФА!$L$5:$L$19,MATCH($C150,ИНФА!$I$5:$I$19,0)),FALSE()),IFERROR(INDEX($W$5:$W$204,MATCH($N150,$A$5:$A$204,0))=1,FALSE()),COUNTIF($N$5:$N150,$N150)&lt;=ИНФА!$F$16),1+ИНФА!$F$15,1))</f>
        <v>1</v>
      </c>
      <c r="P150" s="47" t="str">
        <f aca="false">IF($C150="","",IF($J150&lt;&gt;"Услуги","",IF($N150="","нет поставщика — нужен "&amp;INDEX(ИНФА!$L$5:$L$19,MATCH($C150,ИНФА!$I$5:$I$19,0)),IF($O150&gt;1,"✓ поставка работает (+50%)",IF(IFERROR(INDEX($C$5:$C$204,MATCH($N150,$A$5:$A$204,0))&lt;&gt;INDEX(ИНФА!$L$5:$L$19,MATCH($C150,ИНФА!$I$5:$I$19,0)),TRUE()),"не тот поставщик: нужен "&amp;INDEX(ИНФА!$L$5:$L$19,MATCH($C150,ИНФА!$I$5:$I$19,0)),IF(COUNTIF($N$5:$N150,$N150)&gt;ИНФА!$F$16,"поставщик перегружен","поставщик ещё не работает или продан"))))))</f>
        <v/>
      </c>
      <c r="Q150" s="44"/>
      <c r="R150" s="48" t="str">
        <f aca="false">IF($C150="","",IF($Q150="",1,IFERROR(INDEX(НАУКА!$K$5:$K$44,MATCH($Q150,НАУКА!$A$5:$A$44,0)),1)))</f>
        <v/>
      </c>
      <c r="S150" s="37" t="str">
        <f aca="false">IF($Q150="","",IFERROR(INDEX(НАУКА!$G$5:$G$44,MATCH($Q150,НАУКА!$A$5:$A$44,0)),""))</f>
        <v/>
      </c>
      <c r="T150" s="44"/>
      <c r="U150" s="44"/>
      <c r="V150" s="43"/>
      <c r="W150" s="37" t="n">
        <f aca="false">IF(OR($C150="",$D150=""),0,IF(AND($D150&lt;ИНФА!$F$5,OR($T150="",$T150&gt;=ИНФА!$F$5)),1,0))</f>
        <v>0</v>
      </c>
      <c r="X150" s="46" t="str">
        <f aca="false">IF($C150="","",INDEX(СОБЫТИЯ!$B$5:$K$8,MATCH($K150,СОБЫТИЯ!$A$5:$A$8,0),ИНФА!$F$5))</f>
        <v/>
      </c>
      <c r="Y150" s="42" t="str">
        <f aca="false">IF($C150="","",IF($W150=1,ROUND($L150*$O150*IF(AND($Q150&lt;&gt;"",$S150&lt;&gt;""),IF($S150&lt;ИНФА!$F$5,$R150,1),1)*$X150,0)-$M150+N($AF150)+N($AG150),0))</f>
        <v/>
      </c>
      <c r="Z150" s="38" t="str">
        <f aca="false">IF($C150="","",IF($T150="",INDEX(ИНФА!$M$5:$M$19,MATCH($C150,ИНФА!$I$5:$I$19,0)),0))</f>
        <v/>
      </c>
      <c r="AA150" s="38" t="str">
        <f aca="false">IF(OR($C150="",$T150=""),"",IF($V150&lt;&gt;"",$V150,INDEX(ИНФА!$N$5:$N$19,MATCH($C150,ИНФА!$I$5:$I$19,0))))</f>
        <v/>
      </c>
      <c r="AB150" s="37" t="str">
        <f aca="false">IF($C150="","",IF($T150&lt;&gt;"",IF($U150&lt;&gt;"","продано компании "&amp;$U150&amp;" в цикле "&amp;$T150,"продано Инфраструктуре в цикле "&amp;$T150),IF($D150&gt;=ИНФА!$F$5,"доход со следующего цикла","приносит доход")))</f>
        <v/>
      </c>
      <c r="AC150" s="47" t="str">
        <f aca="false">IF($C150="","",IF($F150="","",IF($E150="","укажите продавца; ",IF(OR($F150&lt;INDEX(ИНФА!$N$5:$N$19,MATCH($C150,ИНФА!$I$5:$I$19,0)),$F150&gt;INDEX(ИНФА!$M$5:$M$19,MATCH($C150,ИНФА!$I$5:$I$19,0))),"цена покупки вне коридора! ","")))&amp;IF($U150="","",IF(OR($V150="",$T150=""),"укажите цикл и цену продажи; ",IF(OR($V150&lt;INDEX(ИНФА!$N$5:$N$19,MATCH($C150,ИНФА!$I$5:$I$19,0)),$V150&gt;INDEX(ИНФА!$M$5:$M$19,MATCH($C150,ИНФА!$I$5:$I$19,0))),"цена продажи вне коридора! ","")))&amp;IF(AND($T150="",COUNTIFS($C$5:$C150,$C150,$T$5:$T150,"")&gt;INDEX(ИНФА!$Q$5:$Q$19,MATCH($C150,ИНФА!$I$5:$I$19,0))),"лотов нет! ","")&amp;IF(AND($E150&lt;&gt;"",$F150=""),"укажите цену сделки; ","")&amp;IF(AND(N($H150)&gt;0,OR($AD150="",$AD150="Профессия"),OR($H150&gt;ИНФА!$F$29,$I150&lt;INDEX(ИНФА!$N$5:$N$19,MATCH($C150,ИНФА!$I$5:$I$19,0))+ИНФА!$F$30)),"скидка больше лимита или цена ниже выкупа + 500! ","")&amp;IF($AE150="","",IF(IFERROR(INDEX($B$5:$B$204,MATCH($AE150,$A$5:$A$204,0))=$B150,TRUE()),"бизнес-пара — только со зданием другой компании; ",""))&amp;IF($Q150="","",IF(IFERROR(INDEX(НАУКА!$B$5:$B$44,MATCH($Q150,НАУКА!$A$5:$A$44,0))&lt;&gt;$B150,FALSE()),"патент другой компании — нужна лицензия или соглашение; ","")))</f>
        <v/>
      </c>
      <c r="AD150" s="44"/>
      <c r="AE150" s="44"/>
      <c r="AF150" s="38" t="str">
        <f aca="false">IF($C150="","",IF(AND($W150=1,OR($C150="Дом",$C150="Кафе")),ИНФА!$F$17*(COUNTIFS($B$5:$B150,$B150,$C$5:$C150,$C150,$W$5:$W150,1)&lt;=COUNTIFS($B$5:$B$204,$B150,$C$5:$C$204,"Парк",$W$5:$W$204,1)),0))</f>
        <v/>
      </c>
      <c r="AG150" s="38" t="str">
        <f aca="false">IF($C150="","",IF($W150=1,IF(OR(AND($AE150&lt;&gt;"",IFERROR(INDEX($W$5:$W$204,MATCH($AE150,$A$5:$A$204,0))=1,FALSE()),IFERROR(INDEX($B$5:$B$204,MATCH($AE150,$A$5:$A$204,0))&lt;&gt;$B150,FALSE())),COUNTIFS($AE$5:$AE$204,$A150,$W$5:$W$204,1,$B$5:$B$204,"&lt;&gt;"&amp;$B150)&gt;0),ИНФА!$F$31,0),0))</f>
        <v/>
      </c>
    </row>
    <row r="151" customFormat="false" ht="15" hidden="false" customHeight="false" outlineLevel="0" collapsed="false">
      <c r="A151" s="15" t="n">
        <v>147</v>
      </c>
      <c r="B151" s="44"/>
      <c r="C151" s="44"/>
      <c r="D151" s="44"/>
      <c r="E151" s="44"/>
      <c r="F151" s="43"/>
      <c r="G151" s="38" t="str">
        <f aca="false">IF($C151="","",IF($F151&lt;&gt;"",$F151,INDEX(ИНФА!$M$5:$M$19,MATCH($C151,ИНФА!$I$5:$I$19,0))))</f>
        <v/>
      </c>
      <c r="H151" s="43"/>
      <c r="I151" s="38" t="str">
        <f aca="false">IF($C151="","",G151-N(H151))</f>
        <v/>
      </c>
      <c r="J151" s="37" t="str">
        <f aca="false">IF($C151="","",INDEX(ИНФА!$J$5:$J$19,MATCH($C151,ИНФА!$I$5:$I$19,0)))</f>
        <v/>
      </c>
      <c r="K151" s="37" t="str">
        <f aca="false">IF($C151="","",INDEX(ИНФА!$K$5:$K$19,MATCH($C151,ИНФА!$I$5:$I$19,0)))</f>
        <v/>
      </c>
      <c r="L151" s="38" t="str">
        <f aca="false">IF($C151="","",INDEX(ИНФА!$O$5:$O$19,MATCH($C151,ИНФА!$I$5:$I$19,0)))</f>
        <v/>
      </c>
      <c r="M151" s="38" t="str">
        <f aca="false">IF($C151="","",INDEX(ИНФА!$P$5:$P$19,MATCH($C151,ИНФА!$I$5:$I$19,0)))</f>
        <v/>
      </c>
      <c r="N151" s="44"/>
      <c r="O151" s="48" t="n">
        <f aca="false">IF(OR($C151="",$N151=""),1,IF(AND($J151="Услуги",IFERROR(INDEX($C$5:$C$204,MATCH($N151,$A$5:$A$204,0))=INDEX(ИНФА!$L$5:$L$19,MATCH($C151,ИНФА!$I$5:$I$19,0)),FALSE()),IFERROR(INDEX($W$5:$W$204,MATCH($N151,$A$5:$A$204,0))=1,FALSE()),COUNTIF($N$5:$N151,$N151)&lt;=ИНФА!$F$16),1+ИНФА!$F$15,1))</f>
        <v>1</v>
      </c>
      <c r="P151" s="47" t="str">
        <f aca="false">IF($C151="","",IF($J151&lt;&gt;"Услуги","",IF($N151="","нет поставщика — нужен "&amp;INDEX(ИНФА!$L$5:$L$19,MATCH($C151,ИНФА!$I$5:$I$19,0)),IF($O151&gt;1,"✓ поставка работает (+50%)",IF(IFERROR(INDEX($C$5:$C$204,MATCH($N151,$A$5:$A$204,0))&lt;&gt;INDEX(ИНФА!$L$5:$L$19,MATCH($C151,ИНФА!$I$5:$I$19,0)),TRUE()),"не тот поставщик: нужен "&amp;INDEX(ИНФА!$L$5:$L$19,MATCH($C151,ИНФА!$I$5:$I$19,0)),IF(COUNTIF($N$5:$N151,$N151)&gt;ИНФА!$F$16,"поставщик перегружен","поставщик ещё не работает или продан"))))))</f>
        <v/>
      </c>
      <c r="Q151" s="44"/>
      <c r="R151" s="48" t="str">
        <f aca="false">IF($C151="","",IF($Q151="",1,IFERROR(INDEX(НАУКА!$K$5:$K$44,MATCH($Q151,НАУКА!$A$5:$A$44,0)),1)))</f>
        <v/>
      </c>
      <c r="S151" s="37" t="str">
        <f aca="false">IF($Q151="","",IFERROR(INDEX(НАУКА!$G$5:$G$44,MATCH($Q151,НАУКА!$A$5:$A$44,0)),""))</f>
        <v/>
      </c>
      <c r="T151" s="44"/>
      <c r="U151" s="44"/>
      <c r="V151" s="43"/>
      <c r="W151" s="37" t="n">
        <f aca="false">IF(OR($C151="",$D151=""),0,IF(AND($D151&lt;ИНФА!$F$5,OR($T151="",$T151&gt;=ИНФА!$F$5)),1,0))</f>
        <v>0</v>
      </c>
      <c r="X151" s="46" t="str">
        <f aca="false">IF($C151="","",INDEX(СОБЫТИЯ!$B$5:$K$8,MATCH($K151,СОБЫТИЯ!$A$5:$A$8,0),ИНФА!$F$5))</f>
        <v/>
      </c>
      <c r="Y151" s="42" t="str">
        <f aca="false">IF($C151="","",IF($W151=1,ROUND($L151*$O151*IF(AND($Q151&lt;&gt;"",$S151&lt;&gt;""),IF($S151&lt;ИНФА!$F$5,$R151,1),1)*$X151,0)-$M151+N($AF151)+N($AG151),0))</f>
        <v/>
      </c>
      <c r="Z151" s="38" t="str">
        <f aca="false">IF($C151="","",IF($T151="",INDEX(ИНФА!$M$5:$M$19,MATCH($C151,ИНФА!$I$5:$I$19,0)),0))</f>
        <v/>
      </c>
      <c r="AA151" s="38" t="str">
        <f aca="false">IF(OR($C151="",$T151=""),"",IF($V151&lt;&gt;"",$V151,INDEX(ИНФА!$N$5:$N$19,MATCH($C151,ИНФА!$I$5:$I$19,0))))</f>
        <v/>
      </c>
      <c r="AB151" s="37" t="str">
        <f aca="false">IF($C151="","",IF($T151&lt;&gt;"",IF($U151&lt;&gt;"","продано компании "&amp;$U151&amp;" в цикле "&amp;$T151,"продано Инфраструктуре в цикле "&amp;$T151),IF($D151&gt;=ИНФА!$F$5,"доход со следующего цикла","приносит доход")))</f>
        <v/>
      </c>
      <c r="AC151" s="47" t="str">
        <f aca="false">IF($C151="","",IF($F151="","",IF($E151="","укажите продавца; ",IF(OR($F151&lt;INDEX(ИНФА!$N$5:$N$19,MATCH($C151,ИНФА!$I$5:$I$19,0)),$F151&gt;INDEX(ИНФА!$M$5:$M$19,MATCH($C151,ИНФА!$I$5:$I$19,0))),"цена покупки вне коридора! ","")))&amp;IF($U151="","",IF(OR($V151="",$T151=""),"укажите цикл и цену продажи; ",IF(OR($V151&lt;INDEX(ИНФА!$N$5:$N$19,MATCH($C151,ИНФА!$I$5:$I$19,0)),$V151&gt;INDEX(ИНФА!$M$5:$M$19,MATCH($C151,ИНФА!$I$5:$I$19,0))),"цена продажи вне коридора! ","")))&amp;IF(AND($T151="",COUNTIFS($C$5:$C151,$C151,$T$5:$T151,"")&gt;INDEX(ИНФА!$Q$5:$Q$19,MATCH($C151,ИНФА!$I$5:$I$19,0))),"лотов нет! ","")&amp;IF(AND($E151&lt;&gt;"",$F151=""),"укажите цену сделки; ","")&amp;IF(AND(N($H151)&gt;0,OR($AD151="",$AD151="Профессия"),OR($H151&gt;ИНФА!$F$29,$I151&lt;INDEX(ИНФА!$N$5:$N$19,MATCH($C151,ИНФА!$I$5:$I$19,0))+ИНФА!$F$30)),"скидка больше лимита или цена ниже выкупа + 500! ","")&amp;IF($AE151="","",IF(IFERROR(INDEX($B$5:$B$204,MATCH($AE151,$A$5:$A$204,0))=$B151,TRUE()),"бизнес-пара — только со зданием другой компании; ",""))&amp;IF($Q151="","",IF(IFERROR(INDEX(НАУКА!$B$5:$B$44,MATCH($Q151,НАУКА!$A$5:$A$44,0))&lt;&gt;$B151,FALSE()),"патент другой компании — нужна лицензия или соглашение; ","")))</f>
        <v/>
      </c>
      <c r="AD151" s="44"/>
      <c r="AE151" s="44"/>
      <c r="AF151" s="38" t="str">
        <f aca="false">IF($C151="","",IF(AND($W151=1,OR($C151="Дом",$C151="Кафе")),ИНФА!$F$17*(COUNTIFS($B$5:$B151,$B151,$C$5:$C151,$C151,$W$5:$W151,1)&lt;=COUNTIFS($B$5:$B$204,$B151,$C$5:$C$204,"Парк",$W$5:$W$204,1)),0))</f>
        <v/>
      </c>
      <c r="AG151" s="38" t="str">
        <f aca="false">IF($C151="","",IF($W151=1,IF(OR(AND($AE151&lt;&gt;"",IFERROR(INDEX($W$5:$W$204,MATCH($AE151,$A$5:$A$204,0))=1,FALSE()),IFERROR(INDEX($B$5:$B$204,MATCH($AE151,$A$5:$A$204,0))&lt;&gt;$B151,FALSE())),COUNTIFS($AE$5:$AE$204,$A151,$W$5:$W$204,1,$B$5:$B$204,"&lt;&gt;"&amp;$B151)&gt;0),ИНФА!$F$31,0),0))</f>
        <v/>
      </c>
    </row>
    <row r="152" customFormat="false" ht="15" hidden="false" customHeight="false" outlineLevel="0" collapsed="false">
      <c r="A152" s="15" t="n">
        <v>148</v>
      </c>
      <c r="B152" s="44"/>
      <c r="C152" s="44"/>
      <c r="D152" s="44"/>
      <c r="E152" s="44"/>
      <c r="F152" s="43"/>
      <c r="G152" s="38" t="str">
        <f aca="false">IF($C152="","",IF($F152&lt;&gt;"",$F152,INDEX(ИНФА!$M$5:$M$19,MATCH($C152,ИНФА!$I$5:$I$19,0))))</f>
        <v/>
      </c>
      <c r="H152" s="43"/>
      <c r="I152" s="38" t="str">
        <f aca="false">IF($C152="","",G152-N(H152))</f>
        <v/>
      </c>
      <c r="J152" s="37" t="str">
        <f aca="false">IF($C152="","",INDEX(ИНФА!$J$5:$J$19,MATCH($C152,ИНФА!$I$5:$I$19,0)))</f>
        <v/>
      </c>
      <c r="K152" s="37" t="str">
        <f aca="false">IF($C152="","",INDEX(ИНФА!$K$5:$K$19,MATCH($C152,ИНФА!$I$5:$I$19,0)))</f>
        <v/>
      </c>
      <c r="L152" s="38" t="str">
        <f aca="false">IF($C152="","",INDEX(ИНФА!$O$5:$O$19,MATCH($C152,ИНФА!$I$5:$I$19,0)))</f>
        <v/>
      </c>
      <c r="M152" s="38" t="str">
        <f aca="false">IF($C152="","",INDEX(ИНФА!$P$5:$P$19,MATCH($C152,ИНФА!$I$5:$I$19,0)))</f>
        <v/>
      </c>
      <c r="N152" s="44"/>
      <c r="O152" s="48" t="n">
        <f aca="false">IF(OR($C152="",$N152=""),1,IF(AND($J152="Услуги",IFERROR(INDEX($C$5:$C$204,MATCH($N152,$A$5:$A$204,0))=INDEX(ИНФА!$L$5:$L$19,MATCH($C152,ИНФА!$I$5:$I$19,0)),FALSE()),IFERROR(INDEX($W$5:$W$204,MATCH($N152,$A$5:$A$204,0))=1,FALSE()),COUNTIF($N$5:$N152,$N152)&lt;=ИНФА!$F$16),1+ИНФА!$F$15,1))</f>
        <v>1</v>
      </c>
      <c r="P152" s="47" t="str">
        <f aca="false">IF($C152="","",IF($J152&lt;&gt;"Услуги","",IF($N152="","нет поставщика — нужен "&amp;INDEX(ИНФА!$L$5:$L$19,MATCH($C152,ИНФА!$I$5:$I$19,0)),IF($O152&gt;1,"✓ поставка работает (+50%)",IF(IFERROR(INDEX($C$5:$C$204,MATCH($N152,$A$5:$A$204,0))&lt;&gt;INDEX(ИНФА!$L$5:$L$19,MATCH($C152,ИНФА!$I$5:$I$19,0)),TRUE()),"не тот поставщик: нужен "&amp;INDEX(ИНФА!$L$5:$L$19,MATCH($C152,ИНФА!$I$5:$I$19,0)),IF(COUNTIF($N$5:$N152,$N152)&gt;ИНФА!$F$16,"поставщик перегружен","поставщик ещё не работает или продан"))))))</f>
        <v/>
      </c>
      <c r="Q152" s="44"/>
      <c r="R152" s="48" t="str">
        <f aca="false">IF($C152="","",IF($Q152="",1,IFERROR(INDEX(НАУКА!$K$5:$K$44,MATCH($Q152,НАУКА!$A$5:$A$44,0)),1)))</f>
        <v/>
      </c>
      <c r="S152" s="37" t="str">
        <f aca="false">IF($Q152="","",IFERROR(INDEX(НАУКА!$G$5:$G$44,MATCH($Q152,НАУКА!$A$5:$A$44,0)),""))</f>
        <v/>
      </c>
      <c r="T152" s="44"/>
      <c r="U152" s="44"/>
      <c r="V152" s="43"/>
      <c r="W152" s="37" t="n">
        <f aca="false">IF(OR($C152="",$D152=""),0,IF(AND($D152&lt;ИНФА!$F$5,OR($T152="",$T152&gt;=ИНФА!$F$5)),1,0))</f>
        <v>0</v>
      </c>
      <c r="X152" s="46" t="str">
        <f aca="false">IF($C152="","",INDEX(СОБЫТИЯ!$B$5:$K$8,MATCH($K152,СОБЫТИЯ!$A$5:$A$8,0),ИНФА!$F$5))</f>
        <v/>
      </c>
      <c r="Y152" s="42" t="str">
        <f aca="false">IF($C152="","",IF($W152=1,ROUND($L152*$O152*IF(AND($Q152&lt;&gt;"",$S152&lt;&gt;""),IF($S152&lt;ИНФА!$F$5,$R152,1),1)*$X152,0)-$M152+N($AF152)+N($AG152),0))</f>
        <v/>
      </c>
      <c r="Z152" s="38" t="str">
        <f aca="false">IF($C152="","",IF($T152="",INDEX(ИНФА!$M$5:$M$19,MATCH($C152,ИНФА!$I$5:$I$19,0)),0))</f>
        <v/>
      </c>
      <c r="AA152" s="38" t="str">
        <f aca="false">IF(OR($C152="",$T152=""),"",IF($V152&lt;&gt;"",$V152,INDEX(ИНФА!$N$5:$N$19,MATCH($C152,ИНФА!$I$5:$I$19,0))))</f>
        <v/>
      </c>
      <c r="AB152" s="37" t="str">
        <f aca="false">IF($C152="","",IF($T152&lt;&gt;"",IF($U152&lt;&gt;"","продано компании "&amp;$U152&amp;" в цикле "&amp;$T152,"продано Инфраструктуре в цикле "&amp;$T152),IF($D152&gt;=ИНФА!$F$5,"доход со следующего цикла","приносит доход")))</f>
        <v/>
      </c>
      <c r="AC152" s="47" t="str">
        <f aca="false">IF($C152="","",IF($F152="","",IF($E152="","укажите продавца; ",IF(OR($F152&lt;INDEX(ИНФА!$N$5:$N$19,MATCH($C152,ИНФА!$I$5:$I$19,0)),$F152&gt;INDEX(ИНФА!$M$5:$M$19,MATCH($C152,ИНФА!$I$5:$I$19,0))),"цена покупки вне коридора! ","")))&amp;IF($U152="","",IF(OR($V152="",$T152=""),"укажите цикл и цену продажи; ",IF(OR($V152&lt;INDEX(ИНФА!$N$5:$N$19,MATCH($C152,ИНФА!$I$5:$I$19,0)),$V152&gt;INDEX(ИНФА!$M$5:$M$19,MATCH($C152,ИНФА!$I$5:$I$19,0))),"цена продажи вне коридора! ","")))&amp;IF(AND($T152="",COUNTIFS($C$5:$C152,$C152,$T$5:$T152,"")&gt;INDEX(ИНФА!$Q$5:$Q$19,MATCH($C152,ИНФА!$I$5:$I$19,0))),"лотов нет! ","")&amp;IF(AND($E152&lt;&gt;"",$F152=""),"укажите цену сделки; ","")&amp;IF(AND(N($H152)&gt;0,OR($AD152="",$AD152="Профессия"),OR($H152&gt;ИНФА!$F$29,$I152&lt;INDEX(ИНФА!$N$5:$N$19,MATCH($C152,ИНФА!$I$5:$I$19,0))+ИНФА!$F$30)),"скидка больше лимита или цена ниже выкупа + 500! ","")&amp;IF($AE152="","",IF(IFERROR(INDEX($B$5:$B$204,MATCH($AE152,$A$5:$A$204,0))=$B152,TRUE()),"бизнес-пара — только со зданием другой компании; ",""))&amp;IF($Q152="","",IF(IFERROR(INDEX(НАУКА!$B$5:$B$44,MATCH($Q152,НАУКА!$A$5:$A$44,0))&lt;&gt;$B152,FALSE()),"патент другой компании — нужна лицензия или соглашение; ","")))</f>
        <v/>
      </c>
      <c r="AD152" s="44"/>
      <c r="AE152" s="44"/>
      <c r="AF152" s="38" t="str">
        <f aca="false">IF($C152="","",IF(AND($W152=1,OR($C152="Дом",$C152="Кафе")),ИНФА!$F$17*(COUNTIFS($B$5:$B152,$B152,$C$5:$C152,$C152,$W$5:$W152,1)&lt;=COUNTIFS($B$5:$B$204,$B152,$C$5:$C$204,"Парк",$W$5:$W$204,1)),0))</f>
        <v/>
      </c>
      <c r="AG152" s="38" t="str">
        <f aca="false">IF($C152="","",IF($W152=1,IF(OR(AND($AE152&lt;&gt;"",IFERROR(INDEX($W$5:$W$204,MATCH($AE152,$A$5:$A$204,0))=1,FALSE()),IFERROR(INDEX($B$5:$B$204,MATCH($AE152,$A$5:$A$204,0))&lt;&gt;$B152,FALSE())),COUNTIFS($AE$5:$AE$204,$A152,$W$5:$W$204,1,$B$5:$B$204,"&lt;&gt;"&amp;$B152)&gt;0),ИНФА!$F$31,0),0))</f>
        <v/>
      </c>
    </row>
    <row r="153" customFormat="false" ht="15" hidden="false" customHeight="false" outlineLevel="0" collapsed="false">
      <c r="A153" s="15" t="n">
        <v>149</v>
      </c>
      <c r="B153" s="44"/>
      <c r="C153" s="44"/>
      <c r="D153" s="44"/>
      <c r="E153" s="44"/>
      <c r="F153" s="43"/>
      <c r="G153" s="38" t="str">
        <f aca="false">IF($C153="","",IF($F153&lt;&gt;"",$F153,INDEX(ИНФА!$M$5:$M$19,MATCH($C153,ИНФА!$I$5:$I$19,0))))</f>
        <v/>
      </c>
      <c r="H153" s="43"/>
      <c r="I153" s="38" t="str">
        <f aca="false">IF($C153="","",G153-N(H153))</f>
        <v/>
      </c>
      <c r="J153" s="37" t="str">
        <f aca="false">IF($C153="","",INDEX(ИНФА!$J$5:$J$19,MATCH($C153,ИНФА!$I$5:$I$19,0)))</f>
        <v/>
      </c>
      <c r="K153" s="37" t="str">
        <f aca="false">IF($C153="","",INDEX(ИНФА!$K$5:$K$19,MATCH($C153,ИНФА!$I$5:$I$19,0)))</f>
        <v/>
      </c>
      <c r="L153" s="38" t="str">
        <f aca="false">IF($C153="","",INDEX(ИНФА!$O$5:$O$19,MATCH($C153,ИНФА!$I$5:$I$19,0)))</f>
        <v/>
      </c>
      <c r="M153" s="38" t="str">
        <f aca="false">IF($C153="","",INDEX(ИНФА!$P$5:$P$19,MATCH($C153,ИНФА!$I$5:$I$19,0)))</f>
        <v/>
      </c>
      <c r="N153" s="44"/>
      <c r="O153" s="48" t="n">
        <f aca="false">IF(OR($C153="",$N153=""),1,IF(AND($J153="Услуги",IFERROR(INDEX($C$5:$C$204,MATCH($N153,$A$5:$A$204,0))=INDEX(ИНФА!$L$5:$L$19,MATCH($C153,ИНФА!$I$5:$I$19,0)),FALSE()),IFERROR(INDEX($W$5:$W$204,MATCH($N153,$A$5:$A$204,0))=1,FALSE()),COUNTIF($N$5:$N153,$N153)&lt;=ИНФА!$F$16),1+ИНФА!$F$15,1))</f>
        <v>1</v>
      </c>
      <c r="P153" s="47" t="str">
        <f aca="false">IF($C153="","",IF($J153&lt;&gt;"Услуги","",IF($N153="","нет поставщика — нужен "&amp;INDEX(ИНФА!$L$5:$L$19,MATCH($C153,ИНФА!$I$5:$I$19,0)),IF($O153&gt;1,"✓ поставка работает (+50%)",IF(IFERROR(INDEX($C$5:$C$204,MATCH($N153,$A$5:$A$204,0))&lt;&gt;INDEX(ИНФА!$L$5:$L$19,MATCH($C153,ИНФА!$I$5:$I$19,0)),TRUE()),"не тот поставщик: нужен "&amp;INDEX(ИНФА!$L$5:$L$19,MATCH($C153,ИНФА!$I$5:$I$19,0)),IF(COUNTIF($N$5:$N153,$N153)&gt;ИНФА!$F$16,"поставщик перегружен","поставщик ещё не работает или продан"))))))</f>
        <v/>
      </c>
      <c r="Q153" s="44"/>
      <c r="R153" s="48" t="str">
        <f aca="false">IF($C153="","",IF($Q153="",1,IFERROR(INDEX(НАУКА!$K$5:$K$44,MATCH($Q153,НАУКА!$A$5:$A$44,0)),1)))</f>
        <v/>
      </c>
      <c r="S153" s="37" t="str">
        <f aca="false">IF($Q153="","",IFERROR(INDEX(НАУКА!$G$5:$G$44,MATCH($Q153,НАУКА!$A$5:$A$44,0)),""))</f>
        <v/>
      </c>
      <c r="T153" s="44"/>
      <c r="U153" s="44"/>
      <c r="V153" s="43"/>
      <c r="W153" s="37" t="n">
        <f aca="false">IF(OR($C153="",$D153=""),0,IF(AND($D153&lt;ИНФА!$F$5,OR($T153="",$T153&gt;=ИНФА!$F$5)),1,0))</f>
        <v>0</v>
      </c>
      <c r="X153" s="46" t="str">
        <f aca="false">IF($C153="","",INDEX(СОБЫТИЯ!$B$5:$K$8,MATCH($K153,СОБЫТИЯ!$A$5:$A$8,0),ИНФА!$F$5))</f>
        <v/>
      </c>
      <c r="Y153" s="42" t="str">
        <f aca="false">IF($C153="","",IF($W153=1,ROUND($L153*$O153*IF(AND($Q153&lt;&gt;"",$S153&lt;&gt;""),IF($S153&lt;ИНФА!$F$5,$R153,1),1)*$X153,0)-$M153+N($AF153)+N($AG153),0))</f>
        <v/>
      </c>
      <c r="Z153" s="38" t="str">
        <f aca="false">IF($C153="","",IF($T153="",INDEX(ИНФА!$M$5:$M$19,MATCH($C153,ИНФА!$I$5:$I$19,0)),0))</f>
        <v/>
      </c>
      <c r="AA153" s="38" t="str">
        <f aca="false">IF(OR($C153="",$T153=""),"",IF($V153&lt;&gt;"",$V153,INDEX(ИНФА!$N$5:$N$19,MATCH($C153,ИНФА!$I$5:$I$19,0))))</f>
        <v/>
      </c>
      <c r="AB153" s="37" t="str">
        <f aca="false">IF($C153="","",IF($T153&lt;&gt;"",IF($U153&lt;&gt;"","продано компании "&amp;$U153&amp;" в цикле "&amp;$T153,"продано Инфраструктуре в цикле "&amp;$T153),IF($D153&gt;=ИНФА!$F$5,"доход со следующего цикла","приносит доход")))</f>
        <v/>
      </c>
      <c r="AC153" s="47" t="str">
        <f aca="false">IF($C153="","",IF($F153="","",IF($E153="","укажите продавца; ",IF(OR($F153&lt;INDEX(ИНФА!$N$5:$N$19,MATCH($C153,ИНФА!$I$5:$I$19,0)),$F153&gt;INDEX(ИНФА!$M$5:$M$19,MATCH($C153,ИНФА!$I$5:$I$19,0))),"цена покупки вне коридора! ","")))&amp;IF($U153="","",IF(OR($V153="",$T153=""),"укажите цикл и цену продажи; ",IF(OR($V153&lt;INDEX(ИНФА!$N$5:$N$19,MATCH($C153,ИНФА!$I$5:$I$19,0)),$V153&gt;INDEX(ИНФА!$M$5:$M$19,MATCH($C153,ИНФА!$I$5:$I$19,0))),"цена продажи вне коридора! ","")))&amp;IF(AND($T153="",COUNTIFS($C$5:$C153,$C153,$T$5:$T153,"")&gt;INDEX(ИНФА!$Q$5:$Q$19,MATCH($C153,ИНФА!$I$5:$I$19,0))),"лотов нет! ","")&amp;IF(AND($E153&lt;&gt;"",$F153=""),"укажите цену сделки; ","")&amp;IF(AND(N($H153)&gt;0,OR($AD153="",$AD153="Профессия"),OR($H153&gt;ИНФА!$F$29,$I153&lt;INDEX(ИНФА!$N$5:$N$19,MATCH($C153,ИНФА!$I$5:$I$19,0))+ИНФА!$F$30)),"скидка больше лимита или цена ниже выкупа + 500! ","")&amp;IF($AE153="","",IF(IFERROR(INDEX($B$5:$B$204,MATCH($AE153,$A$5:$A$204,0))=$B153,TRUE()),"бизнес-пара — только со зданием другой компании; ",""))&amp;IF($Q153="","",IF(IFERROR(INDEX(НАУКА!$B$5:$B$44,MATCH($Q153,НАУКА!$A$5:$A$44,0))&lt;&gt;$B153,FALSE()),"патент другой компании — нужна лицензия или соглашение; ","")))</f>
        <v/>
      </c>
      <c r="AD153" s="44"/>
      <c r="AE153" s="44"/>
      <c r="AF153" s="38" t="str">
        <f aca="false">IF($C153="","",IF(AND($W153=1,OR($C153="Дом",$C153="Кафе")),ИНФА!$F$17*(COUNTIFS($B$5:$B153,$B153,$C$5:$C153,$C153,$W$5:$W153,1)&lt;=COUNTIFS($B$5:$B$204,$B153,$C$5:$C$204,"Парк",$W$5:$W$204,1)),0))</f>
        <v/>
      </c>
      <c r="AG153" s="38" t="str">
        <f aca="false">IF($C153="","",IF($W153=1,IF(OR(AND($AE153&lt;&gt;"",IFERROR(INDEX($W$5:$W$204,MATCH($AE153,$A$5:$A$204,0))=1,FALSE()),IFERROR(INDEX($B$5:$B$204,MATCH($AE153,$A$5:$A$204,0))&lt;&gt;$B153,FALSE())),COUNTIFS($AE$5:$AE$204,$A153,$W$5:$W$204,1,$B$5:$B$204,"&lt;&gt;"&amp;$B153)&gt;0),ИНФА!$F$31,0),0))</f>
        <v/>
      </c>
    </row>
    <row r="154" customFormat="false" ht="15" hidden="false" customHeight="false" outlineLevel="0" collapsed="false">
      <c r="A154" s="15" t="n">
        <v>150</v>
      </c>
      <c r="B154" s="44"/>
      <c r="C154" s="44"/>
      <c r="D154" s="44"/>
      <c r="E154" s="44"/>
      <c r="F154" s="43"/>
      <c r="G154" s="38" t="str">
        <f aca="false">IF($C154="","",IF($F154&lt;&gt;"",$F154,INDEX(ИНФА!$M$5:$M$19,MATCH($C154,ИНФА!$I$5:$I$19,0))))</f>
        <v/>
      </c>
      <c r="H154" s="43"/>
      <c r="I154" s="38" t="str">
        <f aca="false">IF($C154="","",G154-N(H154))</f>
        <v/>
      </c>
      <c r="J154" s="37" t="str">
        <f aca="false">IF($C154="","",INDEX(ИНФА!$J$5:$J$19,MATCH($C154,ИНФА!$I$5:$I$19,0)))</f>
        <v/>
      </c>
      <c r="K154" s="37" t="str">
        <f aca="false">IF($C154="","",INDEX(ИНФА!$K$5:$K$19,MATCH($C154,ИНФА!$I$5:$I$19,0)))</f>
        <v/>
      </c>
      <c r="L154" s="38" t="str">
        <f aca="false">IF($C154="","",INDEX(ИНФА!$O$5:$O$19,MATCH($C154,ИНФА!$I$5:$I$19,0)))</f>
        <v/>
      </c>
      <c r="M154" s="38" t="str">
        <f aca="false">IF($C154="","",INDEX(ИНФА!$P$5:$P$19,MATCH($C154,ИНФА!$I$5:$I$19,0)))</f>
        <v/>
      </c>
      <c r="N154" s="44"/>
      <c r="O154" s="48" t="n">
        <f aca="false">IF(OR($C154="",$N154=""),1,IF(AND($J154="Услуги",IFERROR(INDEX($C$5:$C$204,MATCH($N154,$A$5:$A$204,0))=INDEX(ИНФА!$L$5:$L$19,MATCH($C154,ИНФА!$I$5:$I$19,0)),FALSE()),IFERROR(INDEX($W$5:$W$204,MATCH($N154,$A$5:$A$204,0))=1,FALSE()),COUNTIF($N$5:$N154,$N154)&lt;=ИНФА!$F$16),1+ИНФА!$F$15,1))</f>
        <v>1</v>
      </c>
      <c r="P154" s="47" t="str">
        <f aca="false">IF($C154="","",IF($J154&lt;&gt;"Услуги","",IF($N154="","нет поставщика — нужен "&amp;INDEX(ИНФА!$L$5:$L$19,MATCH($C154,ИНФА!$I$5:$I$19,0)),IF($O154&gt;1,"✓ поставка работает (+50%)",IF(IFERROR(INDEX($C$5:$C$204,MATCH($N154,$A$5:$A$204,0))&lt;&gt;INDEX(ИНФА!$L$5:$L$19,MATCH($C154,ИНФА!$I$5:$I$19,0)),TRUE()),"не тот поставщик: нужен "&amp;INDEX(ИНФА!$L$5:$L$19,MATCH($C154,ИНФА!$I$5:$I$19,0)),IF(COUNTIF($N$5:$N154,$N154)&gt;ИНФА!$F$16,"поставщик перегружен","поставщик ещё не работает или продан"))))))</f>
        <v/>
      </c>
      <c r="Q154" s="44"/>
      <c r="R154" s="48" t="str">
        <f aca="false">IF($C154="","",IF($Q154="",1,IFERROR(INDEX(НАУКА!$K$5:$K$44,MATCH($Q154,НАУКА!$A$5:$A$44,0)),1)))</f>
        <v/>
      </c>
      <c r="S154" s="37" t="str">
        <f aca="false">IF($Q154="","",IFERROR(INDEX(НАУКА!$G$5:$G$44,MATCH($Q154,НАУКА!$A$5:$A$44,0)),""))</f>
        <v/>
      </c>
      <c r="T154" s="44"/>
      <c r="U154" s="44"/>
      <c r="V154" s="43"/>
      <c r="W154" s="37" t="n">
        <f aca="false">IF(OR($C154="",$D154=""),0,IF(AND($D154&lt;ИНФА!$F$5,OR($T154="",$T154&gt;=ИНФА!$F$5)),1,0))</f>
        <v>0</v>
      </c>
      <c r="X154" s="46" t="str">
        <f aca="false">IF($C154="","",INDEX(СОБЫТИЯ!$B$5:$K$8,MATCH($K154,СОБЫТИЯ!$A$5:$A$8,0),ИНФА!$F$5))</f>
        <v/>
      </c>
      <c r="Y154" s="42" t="str">
        <f aca="false">IF($C154="","",IF($W154=1,ROUND($L154*$O154*IF(AND($Q154&lt;&gt;"",$S154&lt;&gt;""),IF($S154&lt;ИНФА!$F$5,$R154,1),1)*$X154,0)-$M154+N($AF154)+N($AG154),0))</f>
        <v/>
      </c>
      <c r="Z154" s="38" t="str">
        <f aca="false">IF($C154="","",IF($T154="",INDEX(ИНФА!$M$5:$M$19,MATCH($C154,ИНФА!$I$5:$I$19,0)),0))</f>
        <v/>
      </c>
      <c r="AA154" s="38" t="str">
        <f aca="false">IF(OR($C154="",$T154=""),"",IF($V154&lt;&gt;"",$V154,INDEX(ИНФА!$N$5:$N$19,MATCH($C154,ИНФА!$I$5:$I$19,0))))</f>
        <v/>
      </c>
      <c r="AB154" s="37" t="str">
        <f aca="false">IF($C154="","",IF($T154&lt;&gt;"",IF($U154&lt;&gt;"","продано компании "&amp;$U154&amp;" в цикле "&amp;$T154,"продано Инфраструктуре в цикле "&amp;$T154),IF($D154&gt;=ИНФА!$F$5,"доход со следующего цикла","приносит доход")))</f>
        <v/>
      </c>
      <c r="AC154" s="47" t="str">
        <f aca="false">IF($C154="","",IF($F154="","",IF($E154="","укажите продавца; ",IF(OR($F154&lt;INDEX(ИНФА!$N$5:$N$19,MATCH($C154,ИНФА!$I$5:$I$19,0)),$F154&gt;INDEX(ИНФА!$M$5:$M$19,MATCH($C154,ИНФА!$I$5:$I$19,0))),"цена покупки вне коридора! ","")))&amp;IF($U154="","",IF(OR($V154="",$T154=""),"укажите цикл и цену продажи; ",IF(OR($V154&lt;INDEX(ИНФА!$N$5:$N$19,MATCH($C154,ИНФА!$I$5:$I$19,0)),$V154&gt;INDEX(ИНФА!$M$5:$M$19,MATCH($C154,ИНФА!$I$5:$I$19,0))),"цена продажи вне коридора! ","")))&amp;IF(AND($T154="",COUNTIFS($C$5:$C154,$C154,$T$5:$T154,"")&gt;INDEX(ИНФА!$Q$5:$Q$19,MATCH($C154,ИНФА!$I$5:$I$19,0))),"лотов нет! ","")&amp;IF(AND($E154&lt;&gt;"",$F154=""),"укажите цену сделки; ","")&amp;IF(AND(N($H154)&gt;0,OR($AD154="",$AD154="Профессия"),OR($H154&gt;ИНФА!$F$29,$I154&lt;INDEX(ИНФА!$N$5:$N$19,MATCH($C154,ИНФА!$I$5:$I$19,0))+ИНФА!$F$30)),"скидка больше лимита или цена ниже выкупа + 500! ","")&amp;IF($AE154="","",IF(IFERROR(INDEX($B$5:$B$204,MATCH($AE154,$A$5:$A$204,0))=$B154,TRUE()),"бизнес-пара — только со зданием другой компании; ",""))&amp;IF($Q154="","",IF(IFERROR(INDEX(НАУКА!$B$5:$B$44,MATCH($Q154,НАУКА!$A$5:$A$44,0))&lt;&gt;$B154,FALSE()),"патент другой компании — нужна лицензия или соглашение; ","")))</f>
        <v/>
      </c>
      <c r="AD154" s="44"/>
      <c r="AE154" s="44"/>
      <c r="AF154" s="38" t="str">
        <f aca="false">IF($C154="","",IF(AND($W154=1,OR($C154="Дом",$C154="Кафе")),ИНФА!$F$17*(COUNTIFS($B$5:$B154,$B154,$C$5:$C154,$C154,$W$5:$W154,1)&lt;=COUNTIFS($B$5:$B$204,$B154,$C$5:$C$204,"Парк",$W$5:$W$204,1)),0))</f>
        <v/>
      </c>
      <c r="AG154" s="38" t="str">
        <f aca="false">IF($C154="","",IF($W154=1,IF(OR(AND($AE154&lt;&gt;"",IFERROR(INDEX($W$5:$W$204,MATCH($AE154,$A$5:$A$204,0))=1,FALSE()),IFERROR(INDEX($B$5:$B$204,MATCH($AE154,$A$5:$A$204,0))&lt;&gt;$B154,FALSE())),COUNTIFS($AE$5:$AE$204,$A154,$W$5:$W$204,1,$B$5:$B$204,"&lt;&gt;"&amp;$B154)&gt;0),ИНФА!$F$31,0),0))</f>
        <v/>
      </c>
    </row>
    <row r="155" customFormat="false" ht="15" hidden="false" customHeight="false" outlineLevel="0" collapsed="false">
      <c r="A155" s="15" t="n">
        <v>151</v>
      </c>
      <c r="B155" s="44"/>
      <c r="C155" s="44"/>
      <c r="D155" s="44"/>
      <c r="E155" s="44"/>
      <c r="F155" s="43"/>
      <c r="G155" s="38" t="str">
        <f aca="false">IF($C155="","",IF($F155&lt;&gt;"",$F155,INDEX(ИНФА!$M$5:$M$19,MATCH($C155,ИНФА!$I$5:$I$19,0))))</f>
        <v/>
      </c>
      <c r="H155" s="43"/>
      <c r="I155" s="38" t="str">
        <f aca="false">IF($C155="","",G155-N(H155))</f>
        <v/>
      </c>
      <c r="J155" s="37" t="str">
        <f aca="false">IF($C155="","",INDEX(ИНФА!$J$5:$J$19,MATCH($C155,ИНФА!$I$5:$I$19,0)))</f>
        <v/>
      </c>
      <c r="K155" s="37" t="str">
        <f aca="false">IF($C155="","",INDEX(ИНФА!$K$5:$K$19,MATCH($C155,ИНФА!$I$5:$I$19,0)))</f>
        <v/>
      </c>
      <c r="L155" s="38" t="str">
        <f aca="false">IF($C155="","",INDEX(ИНФА!$O$5:$O$19,MATCH($C155,ИНФА!$I$5:$I$19,0)))</f>
        <v/>
      </c>
      <c r="M155" s="38" t="str">
        <f aca="false">IF($C155="","",INDEX(ИНФА!$P$5:$P$19,MATCH($C155,ИНФА!$I$5:$I$19,0)))</f>
        <v/>
      </c>
      <c r="N155" s="44"/>
      <c r="O155" s="48" t="n">
        <f aca="false">IF(OR($C155="",$N155=""),1,IF(AND($J155="Услуги",IFERROR(INDEX($C$5:$C$204,MATCH($N155,$A$5:$A$204,0))=INDEX(ИНФА!$L$5:$L$19,MATCH($C155,ИНФА!$I$5:$I$19,0)),FALSE()),IFERROR(INDEX($W$5:$W$204,MATCH($N155,$A$5:$A$204,0))=1,FALSE()),COUNTIF($N$5:$N155,$N155)&lt;=ИНФА!$F$16),1+ИНФА!$F$15,1))</f>
        <v>1</v>
      </c>
      <c r="P155" s="47" t="str">
        <f aca="false">IF($C155="","",IF($J155&lt;&gt;"Услуги","",IF($N155="","нет поставщика — нужен "&amp;INDEX(ИНФА!$L$5:$L$19,MATCH($C155,ИНФА!$I$5:$I$19,0)),IF($O155&gt;1,"✓ поставка работает (+50%)",IF(IFERROR(INDEX($C$5:$C$204,MATCH($N155,$A$5:$A$204,0))&lt;&gt;INDEX(ИНФА!$L$5:$L$19,MATCH($C155,ИНФА!$I$5:$I$19,0)),TRUE()),"не тот поставщик: нужен "&amp;INDEX(ИНФА!$L$5:$L$19,MATCH($C155,ИНФА!$I$5:$I$19,0)),IF(COUNTIF($N$5:$N155,$N155)&gt;ИНФА!$F$16,"поставщик перегружен","поставщик ещё не работает или продан"))))))</f>
        <v/>
      </c>
      <c r="Q155" s="44"/>
      <c r="R155" s="48" t="str">
        <f aca="false">IF($C155="","",IF($Q155="",1,IFERROR(INDEX(НАУКА!$K$5:$K$44,MATCH($Q155,НАУКА!$A$5:$A$44,0)),1)))</f>
        <v/>
      </c>
      <c r="S155" s="37" t="str">
        <f aca="false">IF($Q155="","",IFERROR(INDEX(НАУКА!$G$5:$G$44,MATCH($Q155,НАУКА!$A$5:$A$44,0)),""))</f>
        <v/>
      </c>
      <c r="T155" s="44"/>
      <c r="U155" s="44"/>
      <c r="V155" s="43"/>
      <c r="W155" s="37" t="n">
        <f aca="false">IF(OR($C155="",$D155=""),0,IF(AND($D155&lt;ИНФА!$F$5,OR($T155="",$T155&gt;=ИНФА!$F$5)),1,0))</f>
        <v>0</v>
      </c>
      <c r="X155" s="46" t="str">
        <f aca="false">IF($C155="","",INDEX(СОБЫТИЯ!$B$5:$K$8,MATCH($K155,СОБЫТИЯ!$A$5:$A$8,0),ИНФА!$F$5))</f>
        <v/>
      </c>
      <c r="Y155" s="42" t="str">
        <f aca="false">IF($C155="","",IF($W155=1,ROUND($L155*$O155*IF(AND($Q155&lt;&gt;"",$S155&lt;&gt;""),IF($S155&lt;ИНФА!$F$5,$R155,1),1)*$X155,0)-$M155+N($AF155)+N($AG155),0))</f>
        <v/>
      </c>
      <c r="Z155" s="38" t="str">
        <f aca="false">IF($C155="","",IF($T155="",INDEX(ИНФА!$M$5:$M$19,MATCH($C155,ИНФА!$I$5:$I$19,0)),0))</f>
        <v/>
      </c>
      <c r="AA155" s="38" t="str">
        <f aca="false">IF(OR($C155="",$T155=""),"",IF($V155&lt;&gt;"",$V155,INDEX(ИНФА!$N$5:$N$19,MATCH($C155,ИНФА!$I$5:$I$19,0))))</f>
        <v/>
      </c>
      <c r="AB155" s="37" t="str">
        <f aca="false">IF($C155="","",IF($T155&lt;&gt;"",IF($U155&lt;&gt;"","продано компании "&amp;$U155&amp;" в цикле "&amp;$T155,"продано Инфраструктуре в цикле "&amp;$T155),IF($D155&gt;=ИНФА!$F$5,"доход со следующего цикла","приносит доход")))</f>
        <v/>
      </c>
      <c r="AC155" s="47" t="str">
        <f aca="false">IF($C155="","",IF($F155="","",IF($E155="","укажите продавца; ",IF(OR($F155&lt;INDEX(ИНФА!$N$5:$N$19,MATCH($C155,ИНФА!$I$5:$I$19,0)),$F155&gt;INDEX(ИНФА!$M$5:$M$19,MATCH($C155,ИНФА!$I$5:$I$19,0))),"цена покупки вне коридора! ","")))&amp;IF($U155="","",IF(OR($V155="",$T155=""),"укажите цикл и цену продажи; ",IF(OR($V155&lt;INDEX(ИНФА!$N$5:$N$19,MATCH($C155,ИНФА!$I$5:$I$19,0)),$V155&gt;INDEX(ИНФА!$M$5:$M$19,MATCH($C155,ИНФА!$I$5:$I$19,0))),"цена продажи вне коридора! ","")))&amp;IF(AND($T155="",COUNTIFS($C$5:$C155,$C155,$T$5:$T155,"")&gt;INDEX(ИНФА!$Q$5:$Q$19,MATCH($C155,ИНФА!$I$5:$I$19,0))),"лотов нет! ","")&amp;IF(AND($E155&lt;&gt;"",$F155=""),"укажите цену сделки; ","")&amp;IF(AND(N($H155)&gt;0,OR($AD155="",$AD155="Профессия"),OR($H155&gt;ИНФА!$F$29,$I155&lt;INDEX(ИНФА!$N$5:$N$19,MATCH($C155,ИНФА!$I$5:$I$19,0))+ИНФА!$F$30)),"скидка больше лимита или цена ниже выкупа + 500! ","")&amp;IF($AE155="","",IF(IFERROR(INDEX($B$5:$B$204,MATCH($AE155,$A$5:$A$204,0))=$B155,TRUE()),"бизнес-пара — только со зданием другой компании; ",""))&amp;IF($Q155="","",IF(IFERROR(INDEX(НАУКА!$B$5:$B$44,MATCH($Q155,НАУКА!$A$5:$A$44,0))&lt;&gt;$B155,FALSE()),"патент другой компании — нужна лицензия или соглашение; ","")))</f>
        <v/>
      </c>
      <c r="AD155" s="44"/>
      <c r="AE155" s="44"/>
      <c r="AF155" s="38" t="str">
        <f aca="false">IF($C155="","",IF(AND($W155=1,OR($C155="Дом",$C155="Кафе")),ИНФА!$F$17*(COUNTIFS($B$5:$B155,$B155,$C$5:$C155,$C155,$W$5:$W155,1)&lt;=COUNTIFS($B$5:$B$204,$B155,$C$5:$C$204,"Парк",$W$5:$W$204,1)),0))</f>
        <v/>
      </c>
      <c r="AG155" s="38" t="str">
        <f aca="false">IF($C155="","",IF($W155=1,IF(OR(AND($AE155&lt;&gt;"",IFERROR(INDEX($W$5:$W$204,MATCH($AE155,$A$5:$A$204,0))=1,FALSE()),IFERROR(INDEX($B$5:$B$204,MATCH($AE155,$A$5:$A$204,0))&lt;&gt;$B155,FALSE())),COUNTIFS($AE$5:$AE$204,$A155,$W$5:$W$204,1,$B$5:$B$204,"&lt;&gt;"&amp;$B155)&gt;0),ИНФА!$F$31,0),0))</f>
        <v/>
      </c>
    </row>
    <row r="156" customFormat="false" ht="15" hidden="false" customHeight="false" outlineLevel="0" collapsed="false">
      <c r="A156" s="15" t="n">
        <v>152</v>
      </c>
      <c r="B156" s="44"/>
      <c r="C156" s="44"/>
      <c r="D156" s="44"/>
      <c r="E156" s="44"/>
      <c r="F156" s="43"/>
      <c r="G156" s="38" t="str">
        <f aca="false">IF($C156="","",IF($F156&lt;&gt;"",$F156,INDEX(ИНФА!$M$5:$M$19,MATCH($C156,ИНФА!$I$5:$I$19,0))))</f>
        <v/>
      </c>
      <c r="H156" s="43"/>
      <c r="I156" s="38" t="str">
        <f aca="false">IF($C156="","",G156-N(H156))</f>
        <v/>
      </c>
      <c r="J156" s="37" t="str">
        <f aca="false">IF($C156="","",INDEX(ИНФА!$J$5:$J$19,MATCH($C156,ИНФА!$I$5:$I$19,0)))</f>
        <v/>
      </c>
      <c r="K156" s="37" t="str">
        <f aca="false">IF($C156="","",INDEX(ИНФА!$K$5:$K$19,MATCH($C156,ИНФА!$I$5:$I$19,0)))</f>
        <v/>
      </c>
      <c r="L156" s="38" t="str">
        <f aca="false">IF($C156="","",INDEX(ИНФА!$O$5:$O$19,MATCH($C156,ИНФА!$I$5:$I$19,0)))</f>
        <v/>
      </c>
      <c r="M156" s="38" t="str">
        <f aca="false">IF($C156="","",INDEX(ИНФА!$P$5:$P$19,MATCH($C156,ИНФА!$I$5:$I$19,0)))</f>
        <v/>
      </c>
      <c r="N156" s="44"/>
      <c r="O156" s="48" t="n">
        <f aca="false">IF(OR($C156="",$N156=""),1,IF(AND($J156="Услуги",IFERROR(INDEX($C$5:$C$204,MATCH($N156,$A$5:$A$204,0))=INDEX(ИНФА!$L$5:$L$19,MATCH($C156,ИНФА!$I$5:$I$19,0)),FALSE()),IFERROR(INDEX($W$5:$W$204,MATCH($N156,$A$5:$A$204,0))=1,FALSE()),COUNTIF($N$5:$N156,$N156)&lt;=ИНФА!$F$16),1+ИНФА!$F$15,1))</f>
        <v>1</v>
      </c>
      <c r="P156" s="47" t="str">
        <f aca="false">IF($C156="","",IF($J156&lt;&gt;"Услуги","",IF($N156="","нет поставщика — нужен "&amp;INDEX(ИНФА!$L$5:$L$19,MATCH($C156,ИНФА!$I$5:$I$19,0)),IF($O156&gt;1,"✓ поставка работает (+50%)",IF(IFERROR(INDEX($C$5:$C$204,MATCH($N156,$A$5:$A$204,0))&lt;&gt;INDEX(ИНФА!$L$5:$L$19,MATCH($C156,ИНФА!$I$5:$I$19,0)),TRUE()),"не тот поставщик: нужен "&amp;INDEX(ИНФА!$L$5:$L$19,MATCH($C156,ИНФА!$I$5:$I$19,0)),IF(COUNTIF($N$5:$N156,$N156)&gt;ИНФА!$F$16,"поставщик перегружен","поставщик ещё не работает или продан"))))))</f>
        <v/>
      </c>
      <c r="Q156" s="44"/>
      <c r="R156" s="48" t="str">
        <f aca="false">IF($C156="","",IF($Q156="",1,IFERROR(INDEX(НАУКА!$K$5:$K$44,MATCH($Q156,НАУКА!$A$5:$A$44,0)),1)))</f>
        <v/>
      </c>
      <c r="S156" s="37" t="str">
        <f aca="false">IF($Q156="","",IFERROR(INDEX(НАУКА!$G$5:$G$44,MATCH($Q156,НАУКА!$A$5:$A$44,0)),""))</f>
        <v/>
      </c>
      <c r="T156" s="44"/>
      <c r="U156" s="44"/>
      <c r="V156" s="43"/>
      <c r="W156" s="37" t="n">
        <f aca="false">IF(OR($C156="",$D156=""),0,IF(AND($D156&lt;ИНФА!$F$5,OR($T156="",$T156&gt;=ИНФА!$F$5)),1,0))</f>
        <v>0</v>
      </c>
      <c r="X156" s="46" t="str">
        <f aca="false">IF($C156="","",INDEX(СОБЫТИЯ!$B$5:$K$8,MATCH($K156,СОБЫТИЯ!$A$5:$A$8,0),ИНФА!$F$5))</f>
        <v/>
      </c>
      <c r="Y156" s="42" t="str">
        <f aca="false">IF($C156="","",IF($W156=1,ROUND($L156*$O156*IF(AND($Q156&lt;&gt;"",$S156&lt;&gt;""),IF($S156&lt;ИНФА!$F$5,$R156,1),1)*$X156,0)-$M156+N($AF156)+N($AG156),0))</f>
        <v/>
      </c>
      <c r="Z156" s="38" t="str">
        <f aca="false">IF($C156="","",IF($T156="",INDEX(ИНФА!$M$5:$M$19,MATCH($C156,ИНФА!$I$5:$I$19,0)),0))</f>
        <v/>
      </c>
      <c r="AA156" s="38" t="str">
        <f aca="false">IF(OR($C156="",$T156=""),"",IF($V156&lt;&gt;"",$V156,INDEX(ИНФА!$N$5:$N$19,MATCH($C156,ИНФА!$I$5:$I$19,0))))</f>
        <v/>
      </c>
      <c r="AB156" s="37" t="str">
        <f aca="false">IF($C156="","",IF($T156&lt;&gt;"",IF($U156&lt;&gt;"","продано компании "&amp;$U156&amp;" в цикле "&amp;$T156,"продано Инфраструктуре в цикле "&amp;$T156),IF($D156&gt;=ИНФА!$F$5,"доход со следующего цикла","приносит доход")))</f>
        <v/>
      </c>
      <c r="AC156" s="47" t="str">
        <f aca="false">IF($C156="","",IF($F156="","",IF($E156="","укажите продавца; ",IF(OR($F156&lt;INDEX(ИНФА!$N$5:$N$19,MATCH($C156,ИНФА!$I$5:$I$19,0)),$F156&gt;INDEX(ИНФА!$M$5:$M$19,MATCH($C156,ИНФА!$I$5:$I$19,0))),"цена покупки вне коридора! ","")))&amp;IF($U156="","",IF(OR($V156="",$T156=""),"укажите цикл и цену продажи; ",IF(OR($V156&lt;INDEX(ИНФА!$N$5:$N$19,MATCH($C156,ИНФА!$I$5:$I$19,0)),$V156&gt;INDEX(ИНФА!$M$5:$M$19,MATCH($C156,ИНФА!$I$5:$I$19,0))),"цена продажи вне коридора! ","")))&amp;IF(AND($T156="",COUNTIFS($C$5:$C156,$C156,$T$5:$T156,"")&gt;INDEX(ИНФА!$Q$5:$Q$19,MATCH($C156,ИНФА!$I$5:$I$19,0))),"лотов нет! ","")&amp;IF(AND($E156&lt;&gt;"",$F156=""),"укажите цену сделки; ","")&amp;IF(AND(N($H156)&gt;0,OR($AD156="",$AD156="Профессия"),OR($H156&gt;ИНФА!$F$29,$I156&lt;INDEX(ИНФА!$N$5:$N$19,MATCH($C156,ИНФА!$I$5:$I$19,0))+ИНФА!$F$30)),"скидка больше лимита или цена ниже выкупа + 500! ","")&amp;IF($AE156="","",IF(IFERROR(INDEX($B$5:$B$204,MATCH($AE156,$A$5:$A$204,0))=$B156,TRUE()),"бизнес-пара — только со зданием другой компании; ",""))&amp;IF($Q156="","",IF(IFERROR(INDEX(НАУКА!$B$5:$B$44,MATCH($Q156,НАУКА!$A$5:$A$44,0))&lt;&gt;$B156,FALSE()),"патент другой компании — нужна лицензия или соглашение; ","")))</f>
        <v/>
      </c>
      <c r="AD156" s="44"/>
      <c r="AE156" s="44"/>
      <c r="AF156" s="38" t="str">
        <f aca="false">IF($C156="","",IF(AND($W156=1,OR($C156="Дом",$C156="Кафе")),ИНФА!$F$17*(COUNTIFS($B$5:$B156,$B156,$C$5:$C156,$C156,$W$5:$W156,1)&lt;=COUNTIFS($B$5:$B$204,$B156,$C$5:$C$204,"Парк",$W$5:$W$204,1)),0))</f>
        <v/>
      </c>
      <c r="AG156" s="38" t="str">
        <f aca="false">IF($C156="","",IF($W156=1,IF(OR(AND($AE156&lt;&gt;"",IFERROR(INDEX($W$5:$W$204,MATCH($AE156,$A$5:$A$204,0))=1,FALSE()),IFERROR(INDEX($B$5:$B$204,MATCH($AE156,$A$5:$A$204,0))&lt;&gt;$B156,FALSE())),COUNTIFS($AE$5:$AE$204,$A156,$W$5:$W$204,1,$B$5:$B$204,"&lt;&gt;"&amp;$B156)&gt;0),ИНФА!$F$31,0),0))</f>
        <v/>
      </c>
    </row>
    <row r="157" customFormat="false" ht="15" hidden="false" customHeight="false" outlineLevel="0" collapsed="false">
      <c r="A157" s="15" t="n">
        <v>153</v>
      </c>
      <c r="B157" s="44"/>
      <c r="C157" s="44"/>
      <c r="D157" s="44"/>
      <c r="E157" s="44"/>
      <c r="F157" s="43"/>
      <c r="G157" s="38" t="str">
        <f aca="false">IF($C157="","",IF($F157&lt;&gt;"",$F157,INDEX(ИНФА!$M$5:$M$19,MATCH($C157,ИНФА!$I$5:$I$19,0))))</f>
        <v/>
      </c>
      <c r="H157" s="43"/>
      <c r="I157" s="38" t="str">
        <f aca="false">IF($C157="","",G157-N(H157))</f>
        <v/>
      </c>
      <c r="J157" s="37" t="str">
        <f aca="false">IF($C157="","",INDEX(ИНФА!$J$5:$J$19,MATCH($C157,ИНФА!$I$5:$I$19,0)))</f>
        <v/>
      </c>
      <c r="K157" s="37" t="str">
        <f aca="false">IF($C157="","",INDEX(ИНФА!$K$5:$K$19,MATCH($C157,ИНФА!$I$5:$I$19,0)))</f>
        <v/>
      </c>
      <c r="L157" s="38" t="str">
        <f aca="false">IF($C157="","",INDEX(ИНФА!$O$5:$O$19,MATCH($C157,ИНФА!$I$5:$I$19,0)))</f>
        <v/>
      </c>
      <c r="M157" s="38" t="str">
        <f aca="false">IF($C157="","",INDEX(ИНФА!$P$5:$P$19,MATCH($C157,ИНФА!$I$5:$I$19,0)))</f>
        <v/>
      </c>
      <c r="N157" s="44"/>
      <c r="O157" s="48" t="n">
        <f aca="false">IF(OR($C157="",$N157=""),1,IF(AND($J157="Услуги",IFERROR(INDEX($C$5:$C$204,MATCH($N157,$A$5:$A$204,0))=INDEX(ИНФА!$L$5:$L$19,MATCH($C157,ИНФА!$I$5:$I$19,0)),FALSE()),IFERROR(INDEX($W$5:$W$204,MATCH($N157,$A$5:$A$204,0))=1,FALSE()),COUNTIF($N$5:$N157,$N157)&lt;=ИНФА!$F$16),1+ИНФА!$F$15,1))</f>
        <v>1</v>
      </c>
      <c r="P157" s="47" t="str">
        <f aca="false">IF($C157="","",IF($J157&lt;&gt;"Услуги","",IF($N157="","нет поставщика — нужен "&amp;INDEX(ИНФА!$L$5:$L$19,MATCH($C157,ИНФА!$I$5:$I$19,0)),IF($O157&gt;1,"✓ поставка работает (+50%)",IF(IFERROR(INDEX($C$5:$C$204,MATCH($N157,$A$5:$A$204,0))&lt;&gt;INDEX(ИНФА!$L$5:$L$19,MATCH($C157,ИНФА!$I$5:$I$19,0)),TRUE()),"не тот поставщик: нужен "&amp;INDEX(ИНФА!$L$5:$L$19,MATCH($C157,ИНФА!$I$5:$I$19,0)),IF(COUNTIF($N$5:$N157,$N157)&gt;ИНФА!$F$16,"поставщик перегружен","поставщик ещё не работает или продан"))))))</f>
        <v/>
      </c>
      <c r="Q157" s="44"/>
      <c r="R157" s="48" t="str">
        <f aca="false">IF($C157="","",IF($Q157="",1,IFERROR(INDEX(НАУКА!$K$5:$K$44,MATCH($Q157,НАУКА!$A$5:$A$44,0)),1)))</f>
        <v/>
      </c>
      <c r="S157" s="37" t="str">
        <f aca="false">IF($Q157="","",IFERROR(INDEX(НАУКА!$G$5:$G$44,MATCH($Q157,НАУКА!$A$5:$A$44,0)),""))</f>
        <v/>
      </c>
      <c r="T157" s="44"/>
      <c r="U157" s="44"/>
      <c r="V157" s="43"/>
      <c r="W157" s="37" t="n">
        <f aca="false">IF(OR($C157="",$D157=""),0,IF(AND($D157&lt;ИНФА!$F$5,OR($T157="",$T157&gt;=ИНФА!$F$5)),1,0))</f>
        <v>0</v>
      </c>
      <c r="X157" s="46" t="str">
        <f aca="false">IF($C157="","",INDEX(СОБЫТИЯ!$B$5:$K$8,MATCH($K157,СОБЫТИЯ!$A$5:$A$8,0),ИНФА!$F$5))</f>
        <v/>
      </c>
      <c r="Y157" s="42" t="str">
        <f aca="false">IF($C157="","",IF($W157=1,ROUND($L157*$O157*IF(AND($Q157&lt;&gt;"",$S157&lt;&gt;""),IF($S157&lt;ИНФА!$F$5,$R157,1),1)*$X157,0)-$M157+N($AF157)+N($AG157),0))</f>
        <v/>
      </c>
      <c r="Z157" s="38" t="str">
        <f aca="false">IF($C157="","",IF($T157="",INDEX(ИНФА!$M$5:$M$19,MATCH($C157,ИНФА!$I$5:$I$19,0)),0))</f>
        <v/>
      </c>
      <c r="AA157" s="38" t="str">
        <f aca="false">IF(OR($C157="",$T157=""),"",IF($V157&lt;&gt;"",$V157,INDEX(ИНФА!$N$5:$N$19,MATCH($C157,ИНФА!$I$5:$I$19,0))))</f>
        <v/>
      </c>
      <c r="AB157" s="37" t="str">
        <f aca="false">IF($C157="","",IF($T157&lt;&gt;"",IF($U157&lt;&gt;"","продано компании "&amp;$U157&amp;" в цикле "&amp;$T157,"продано Инфраструктуре в цикле "&amp;$T157),IF($D157&gt;=ИНФА!$F$5,"доход со следующего цикла","приносит доход")))</f>
        <v/>
      </c>
      <c r="AC157" s="47" t="str">
        <f aca="false">IF($C157="","",IF($F157="","",IF($E157="","укажите продавца; ",IF(OR($F157&lt;INDEX(ИНФА!$N$5:$N$19,MATCH($C157,ИНФА!$I$5:$I$19,0)),$F157&gt;INDEX(ИНФА!$M$5:$M$19,MATCH($C157,ИНФА!$I$5:$I$19,0))),"цена покупки вне коридора! ","")))&amp;IF($U157="","",IF(OR($V157="",$T157=""),"укажите цикл и цену продажи; ",IF(OR($V157&lt;INDEX(ИНФА!$N$5:$N$19,MATCH($C157,ИНФА!$I$5:$I$19,0)),$V157&gt;INDEX(ИНФА!$M$5:$M$19,MATCH($C157,ИНФА!$I$5:$I$19,0))),"цена продажи вне коридора! ","")))&amp;IF(AND($T157="",COUNTIFS($C$5:$C157,$C157,$T$5:$T157,"")&gt;INDEX(ИНФА!$Q$5:$Q$19,MATCH($C157,ИНФА!$I$5:$I$19,0))),"лотов нет! ","")&amp;IF(AND($E157&lt;&gt;"",$F157=""),"укажите цену сделки; ","")&amp;IF(AND(N($H157)&gt;0,OR($AD157="",$AD157="Профессия"),OR($H157&gt;ИНФА!$F$29,$I157&lt;INDEX(ИНФА!$N$5:$N$19,MATCH($C157,ИНФА!$I$5:$I$19,0))+ИНФА!$F$30)),"скидка больше лимита или цена ниже выкупа + 500! ","")&amp;IF($AE157="","",IF(IFERROR(INDEX($B$5:$B$204,MATCH($AE157,$A$5:$A$204,0))=$B157,TRUE()),"бизнес-пара — только со зданием другой компании; ",""))&amp;IF($Q157="","",IF(IFERROR(INDEX(НАУКА!$B$5:$B$44,MATCH($Q157,НАУКА!$A$5:$A$44,0))&lt;&gt;$B157,FALSE()),"патент другой компании — нужна лицензия или соглашение; ","")))</f>
        <v/>
      </c>
      <c r="AD157" s="44"/>
      <c r="AE157" s="44"/>
      <c r="AF157" s="38" t="str">
        <f aca="false">IF($C157="","",IF(AND($W157=1,OR($C157="Дом",$C157="Кафе")),ИНФА!$F$17*(COUNTIFS($B$5:$B157,$B157,$C$5:$C157,$C157,$W$5:$W157,1)&lt;=COUNTIFS($B$5:$B$204,$B157,$C$5:$C$204,"Парк",$W$5:$W$204,1)),0))</f>
        <v/>
      </c>
      <c r="AG157" s="38" t="str">
        <f aca="false">IF($C157="","",IF($W157=1,IF(OR(AND($AE157&lt;&gt;"",IFERROR(INDEX($W$5:$W$204,MATCH($AE157,$A$5:$A$204,0))=1,FALSE()),IFERROR(INDEX($B$5:$B$204,MATCH($AE157,$A$5:$A$204,0))&lt;&gt;$B157,FALSE())),COUNTIFS($AE$5:$AE$204,$A157,$W$5:$W$204,1,$B$5:$B$204,"&lt;&gt;"&amp;$B157)&gt;0),ИНФА!$F$31,0),0))</f>
        <v/>
      </c>
    </row>
    <row r="158" customFormat="false" ht="15" hidden="false" customHeight="false" outlineLevel="0" collapsed="false">
      <c r="A158" s="15" t="n">
        <v>154</v>
      </c>
      <c r="B158" s="44"/>
      <c r="C158" s="44"/>
      <c r="D158" s="44"/>
      <c r="E158" s="44"/>
      <c r="F158" s="43"/>
      <c r="G158" s="38" t="str">
        <f aca="false">IF($C158="","",IF($F158&lt;&gt;"",$F158,INDEX(ИНФА!$M$5:$M$19,MATCH($C158,ИНФА!$I$5:$I$19,0))))</f>
        <v/>
      </c>
      <c r="H158" s="43"/>
      <c r="I158" s="38" t="str">
        <f aca="false">IF($C158="","",G158-N(H158))</f>
        <v/>
      </c>
      <c r="J158" s="37" t="str">
        <f aca="false">IF($C158="","",INDEX(ИНФА!$J$5:$J$19,MATCH($C158,ИНФА!$I$5:$I$19,0)))</f>
        <v/>
      </c>
      <c r="K158" s="37" t="str">
        <f aca="false">IF($C158="","",INDEX(ИНФА!$K$5:$K$19,MATCH($C158,ИНФА!$I$5:$I$19,0)))</f>
        <v/>
      </c>
      <c r="L158" s="38" t="str">
        <f aca="false">IF($C158="","",INDEX(ИНФА!$O$5:$O$19,MATCH($C158,ИНФА!$I$5:$I$19,0)))</f>
        <v/>
      </c>
      <c r="M158" s="38" t="str">
        <f aca="false">IF($C158="","",INDEX(ИНФА!$P$5:$P$19,MATCH($C158,ИНФА!$I$5:$I$19,0)))</f>
        <v/>
      </c>
      <c r="N158" s="44"/>
      <c r="O158" s="48" t="n">
        <f aca="false">IF(OR($C158="",$N158=""),1,IF(AND($J158="Услуги",IFERROR(INDEX($C$5:$C$204,MATCH($N158,$A$5:$A$204,0))=INDEX(ИНФА!$L$5:$L$19,MATCH($C158,ИНФА!$I$5:$I$19,0)),FALSE()),IFERROR(INDEX($W$5:$W$204,MATCH($N158,$A$5:$A$204,0))=1,FALSE()),COUNTIF($N$5:$N158,$N158)&lt;=ИНФА!$F$16),1+ИНФА!$F$15,1))</f>
        <v>1</v>
      </c>
      <c r="P158" s="47" t="str">
        <f aca="false">IF($C158="","",IF($J158&lt;&gt;"Услуги","",IF($N158="","нет поставщика — нужен "&amp;INDEX(ИНФА!$L$5:$L$19,MATCH($C158,ИНФА!$I$5:$I$19,0)),IF($O158&gt;1,"✓ поставка работает (+50%)",IF(IFERROR(INDEX($C$5:$C$204,MATCH($N158,$A$5:$A$204,0))&lt;&gt;INDEX(ИНФА!$L$5:$L$19,MATCH($C158,ИНФА!$I$5:$I$19,0)),TRUE()),"не тот поставщик: нужен "&amp;INDEX(ИНФА!$L$5:$L$19,MATCH($C158,ИНФА!$I$5:$I$19,0)),IF(COUNTIF($N$5:$N158,$N158)&gt;ИНФА!$F$16,"поставщик перегружен","поставщик ещё не работает или продан"))))))</f>
        <v/>
      </c>
      <c r="Q158" s="44"/>
      <c r="R158" s="48" t="str">
        <f aca="false">IF($C158="","",IF($Q158="",1,IFERROR(INDEX(НАУКА!$K$5:$K$44,MATCH($Q158,НАУКА!$A$5:$A$44,0)),1)))</f>
        <v/>
      </c>
      <c r="S158" s="37" t="str">
        <f aca="false">IF($Q158="","",IFERROR(INDEX(НАУКА!$G$5:$G$44,MATCH($Q158,НАУКА!$A$5:$A$44,0)),""))</f>
        <v/>
      </c>
      <c r="T158" s="44"/>
      <c r="U158" s="44"/>
      <c r="V158" s="43"/>
      <c r="W158" s="37" t="n">
        <f aca="false">IF(OR($C158="",$D158=""),0,IF(AND($D158&lt;ИНФА!$F$5,OR($T158="",$T158&gt;=ИНФА!$F$5)),1,0))</f>
        <v>0</v>
      </c>
      <c r="X158" s="46" t="str">
        <f aca="false">IF($C158="","",INDEX(СОБЫТИЯ!$B$5:$K$8,MATCH($K158,СОБЫТИЯ!$A$5:$A$8,0),ИНФА!$F$5))</f>
        <v/>
      </c>
      <c r="Y158" s="42" t="str">
        <f aca="false">IF($C158="","",IF($W158=1,ROUND($L158*$O158*IF(AND($Q158&lt;&gt;"",$S158&lt;&gt;""),IF($S158&lt;ИНФА!$F$5,$R158,1),1)*$X158,0)-$M158+N($AF158)+N($AG158),0))</f>
        <v/>
      </c>
      <c r="Z158" s="38" t="str">
        <f aca="false">IF($C158="","",IF($T158="",INDEX(ИНФА!$M$5:$M$19,MATCH($C158,ИНФА!$I$5:$I$19,0)),0))</f>
        <v/>
      </c>
      <c r="AA158" s="38" t="str">
        <f aca="false">IF(OR($C158="",$T158=""),"",IF($V158&lt;&gt;"",$V158,INDEX(ИНФА!$N$5:$N$19,MATCH($C158,ИНФА!$I$5:$I$19,0))))</f>
        <v/>
      </c>
      <c r="AB158" s="37" t="str">
        <f aca="false">IF($C158="","",IF($T158&lt;&gt;"",IF($U158&lt;&gt;"","продано компании "&amp;$U158&amp;" в цикле "&amp;$T158,"продано Инфраструктуре в цикле "&amp;$T158),IF($D158&gt;=ИНФА!$F$5,"доход со следующего цикла","приносит доход")))</f>
        <v/>
      </c>
      <c r="AC158" s="47" t="str">
        <f aca="false">IF($C158="","",IF($F158="","",IF($E158="","укажите продавца; ",IF(OR($F158&lt;INDEX(ИНФА!$N$5:$N$19,MATCH($C158,ИНФА!$I$5:$I$19,0)),$F158&gt;INDEX(ИНФА!$M$5:$M$19,MATCH($C158,ИНФА!$I$5:$I$19,0))),"цена покупки вне коридора! ","")))&amp;IF($U158="","",IF(OR($V158="",$T158=""),"укажите цикл и цену продажи; ",IF(OR($V158&lt;INDEX(ИНФА!$N$5:$N$19,MATCH($C158,ИНФА!$I$5:$I$19,0)),$V158&gt;INDEX(ИНФА!$M$5:$M$19,MATCH($C158,ИНФА!$I$5:$I$19,0))),"цена продажи вне коридора! ","")))&amp;IF(AND($T158="",COUNTIFS($C$5:$C158,$C158,$T$5:$T158,"")&gt;INDEX(ИНФА!$Q$5:$Q$19,MATCH($C158,ИНФА!$I$5:$I$19,0))),"лотов нет! ","")&amp;IF(AND($E158&lt;&gt;"",$F158=""),"укажите цену сделки; ","")&amp;IF(AND(N($H158)&gt;0,OR($AD158="",$AD158="Профессия"),OR($H158&gt;ИНФА!$F$29,$I158&lt;INDEX(ИНФА!$N$5:$N$19,MATCH($C158,ИНФА!$I$5:$I$19,0))+ИНФА!$F$30)),"скидка больше лимита или цена ниже выкупа + 500! ","")&amp;IF($AE158="","",IF(IFERROR(INDEX($B$5:$B$204,MATCH($AE158,$A$5:$A$204,0))=$B158,TRUE()),"бизнес-пара — только со зданием другой компании; ",""))&amp;IF($Q158="","",IF(IFERROR(INDEX(НАУКА!$B$5:$B$44,MATCH($Q158,НАУКА!$A$5:$A$44,0))&lt;&gt;$B158,FALSE()),"патент другой компании — нужна лицензия или соглашение; ","")))</f>
        <v/>
      </c>
      <c r="AD158" s="44"/>
      <c r="AE158" s="44"/>
      <c r="AF158" s="38" t="str">
        <f aca="false">IF($C158="","",IF(AND($W158=1,OR($C158="Дом",$C158="Кафе")),ИНФА!$F$17*(COUNTIFS($B$5:$B158,$B158,$C$5:$C158,$C158,$W$5:$W158,1)&lt;=COUNTIFS($B$5:$B$204,$B158,$C$5:$C$204,"Парк",$W$5:$W$204,1)),0))</f>
        <v/>
      </c>
      <c r="AG158" s="38" t="str">
        <f aca="false">IF($C158="","",IF($W158=1,IF(OR(AND($AE158&lt;&gt;"",IFERROR(INDEX($W$5:$W$204,MATCH($AE158,$A$5:$A$204,0))=1,FALSE()),IFERROR(INDEX($B$5:$B$204,MATCH($AE158,$A$5:$A$204,0))&lt;&gt;$B158,FALSE())),COUNTIFS($AE$5:$AE$204,$A158,$W$5:$W$204,1,$B$5:$B$204,"&lt;&gt;"&amp;$B158)&gt;0),ИНФА!$F$31,0),0))</f>
        <v/>
      </c>
    </row>
    <row r="159" customFormat="false" ht="15" hidden="false" customHeight="false" outlineLevel="0" collapsed="false">
      <c r="A159" s="15" t="n">
        <v>155</v>
      </c>
      <c r="B159" s="44"/>
      <c r="C159" s="44"/>
      <c r="D159" s="44"/>
      <c r="E159" s="44"/>
      <c r="F159" s="43"/>
      <c r="G159" s="38" t="str">
        <f aca="false">IF($C159="","",IF($F159&lt;&gt;"",$F159,INDEX(ИНФА!$M$5:$M$19,MATCH($C159,ИНФА!$I$5:$I$19,0))))</f>
        <v/>
      </c>
      <c r="H159" s="43"/>
      <c r="I159" s="38" t="str">
        <f aca="false">IF($C159="","",G159-N(H159))</f>
        <v/>
      </c>
      <c r="J159" s="37" t="str">
        <f aca="false">IF($C159="","",INDEX(ИНФА!$J$5:$J$19,MATCH($C159,ИНФА!$I$5:$I$19,0)))</f>
        <v/>
      </c>
      <c r="K159" s="37" t="str">
        <f aca="false">IF($C159="","",INDEX(ИНФА!$K$5:$K$19,MATCH($C159,ИНФА!$I$5:$I$19,0)))</f>
        <v/>
      </c>
      <c r="L159" s="38" t="str">
        <f aca="false">IF($C159="","",INDEX(ИНФА!$O$5:$O$19,MATCH($C159,ИНФА!$I$5:$I$19,0)))</f>
        <v/>
      </c>
      <c r="M159" s="38" t="str">
        <f aca="false">IF($C159="","",INDEX(ИНФА!$P$5:$P$19,MATCH($C159,ИНФА!$I$5:$I$19,0)))</f>
        <v/>
      </c>
      <c r="N159" s="44"/>
      <c r="O159" s="48" t="n">
        <f aca="false">IF(OR($C159="",$N159=""),1,IF(AND($J159="Услуги",IFERROR(INDEX($C$5:$C$204,MATCH($N159,$A$5:$A$204,0))=INDEX(ИНФА!$L$5:$L$19,MATCH($C159,ИНФА!$I$5:$I$19,0)),FALSE()),IFERROR(INDEX($W$5:$W$204,MATCH($N159,$A$5:$A$204,0))=1,FALSE()),COUNTIF($N$5:$N159,$N159)&lt;=ИНФА!$F$16),1+ИНФА!$F$15,1))</f>
        <v>1</v>
      </c>
      <c r="P159" s="47" t="str">
        <f aca="false">IF($C159="","",IF($J159&lt;&gt;"Услуги","",IF($N159="","нет поставщика — нужен "&amp;INDEX(ИНФА!$L$5:$L$19,MATCH($C159,ИНФА!$I$5:$I$19,0)),IF($O159&gt;1,"✓ поставка работает (+50%)",IF(IFERROR(INDEX($C$5:$C$204,MATCH($N159,$A$5:$A$204,0))&lt;&gt;INDEX(ИНФА!$L$5:$L$19,MATCH($C159,ИНФА!$I$5:$I$19,0)),TRUE()),"не тот поставщик: нужен "&amp;INDEX(ИНФА!$L$5:$L$19,MATCH($C159,ИНФА!$I$5:$I$19,0)),IF(COUNTIF($N$5:$N159,$N159)&gt;ИНФА!$F$16,"поставщик перегружен","поставщик ещё не работает или продан"))))))</f>
        <v/>
      </c>
      <c r="Q159" s="44"/>
      <c r="R159" s="48" t="str">
        <f aca="false">IF($C159="","",IF($Q159="",1,IFERROR(INDEX(НАУКА!$K$5:$K$44,MATCH($Q159,НАУКА!$A$5:$A$44,0)),1)))</f>
        <v/>
      </c>
      <c r="S159" s="37" t="str">
        <f aca="false">IF($Q159="","",IFERROR(INDEX(НАУКА!$G$5:$G$44,MATCH($Q159,НАУКА!$A$5:$A$44,0)),""))</f>
        <v/>
      </c>
      <c r="T159" s="44"/>
      <c r="U159" s="44"/>
      <c r="V159" s="43"/>
      <c r="W159" s="37" t="n">
        <f aca="false">IF(OR($C159="",$D159=""),0,IF(AND($D159&lt;ИНФА!$F$5,OR($T159="",$T159&gt;=ИНФА!$F$5)),1,0))</f>
        <v>0</v>
      </c>
      <c r="X159" s="46" t="str">
        <f aca="false">IF($C159="","",INDEX(СОБЫТИЯ!$B$5:$K$8,MATCH($K159,СОБЫТИЯ!$A$5:$A$8,0),ИНФА!$F$5))</f>
        <v/>
      </c>
      <c r="Y159" s="42" t="str">
        <f aca="false">IF($C159="","",IF($W159=1,ROUND($L159*$O159*IF(AND($Q159&lt;&gt;"",$S159&lt;&gt;""),IF($S159&lt;ИНФА!$F$5,$R159,1),1)*$X159,0)-$M159+N($AF159)+N($AG159),0))</f>
        <v/>
      </c>
      <c r="Z159" s="38" t="str">
        <f aca="false">IF($C159="","",IF($T159="",INDEX(ИНФА!$M$5:$M$19,MATCH($C159,ИНФА!$I$5:$I$19,0)),0))</f>
        <v/>
      </c>
      <c r="AA159" s="38" t="str">
        <f aca="false">IF(OR($C159="",$T159=""),"",IF($V159&lt;&gt;"",$V159,INDEX(ИНФА!$N$5:$N$19,MATCH($C159,ИНФА!$I$5:$I$19,0))))</f>
        <v/>
      </c>
      <c r="AB159" s="37" t="str">
        <f aca="false">IF($C159="","",IF($T159&lt;&gt;"",IF($U159&lt;&gt;"","продано компании "&amp;$U159&amp;" в цикле "&amp;$T159,"продано Инфраструктуре в цикле "&amp;$T159),IF($D159&gt;=ИНФА!$F$5,"доход со следующего цикла","приносит доход")))</f>
        <v/>
      </c>
      <c r="AC159" s="47" t="str">
        <f aca="false">IF($C159="","",IF($F159="","",IF($E159="","укажите продавца; ",IF(OR($F159&lt;INDEX(ИНФА!$N$5:$N$19,MATCH($C159,ИНФА!$I$5:$I$19,0)),$F159&gt;INDEX(ИНФА!$M$5:$M$19,MATCH($C159,ИНФА!$I$5:$I$19,0))),"цена покупки вне коридора! ","")))&amp;IF($U159="","",IF(OR($V159="",$T159=""),"укажите цикл и цену продажи; ",IF(OR($V159&lt;INDEX(ИНФА!$N$5:$N$19,MATCH($C159,ИНФА!$I$5:$I$19,0)),$V159&gt;INDEX(ИНФА!$M$5:$M$19,MATCH($C159,ИНФА!$I$5:$I$19,0))),"цена продажи вне коридора! ","")))&amp;IF(AND($T159="",COUNTIFS($C$5:$C159,$C159,$T$5:$T159,"")&gt;INDEX(ИНФА!$Q$5:$Q$19,MATCH($C159,ИНФА!$I$5:$I$19,0))),"лотов нет! ","")&amp;IF(AND($E159&lt;&gt;"",$F159=""),"укажите цену сделки; ","")&amp;IF(AND(N($H159)&gt;0,OR($AD159="",$AD159="Профессия"),OR($H159&gt;ИНФА!$F$29,$I159&lt;INDEX(ИНФА!$N$5:$N$19,MATCH($C159,ИНФА!$I$5:$I$19,0))+ИНФА!$F$30)),"скидка больше лимита или цена ниже выкупа + 500! ","")&amp;IF($AE159="","",IF(IFERROR(INDEX($B$5:$B$204,MATCH($AE159,$A$5:$A$204,0))=$B159,TRUE()),"бизнес-пара — только со зданием другой компании; ",""))&amp;IF($Q159="","",IF(IFERROR(INDEX(НАУКА!$B$5:$B$44,MATCH($Q159,НАУКА!$A$5:$A$44,0))&lt;&gt;$B159,FALSE()),"патент другой компании — нужна лицензия или соглашение; ","")))</f>
        <v/>
      </c>
      <c r="AD159" s="44"/>
      <c r="AE159" s="44"/>
      <c r="AF159" s="38" t="str">
        <f aca="false">IF($C159="","",IF(AND($W159=1,OR($C159="Дом",$C159="Кафе")),ИНФА!$F$17*(COUNTIFS($B$5:$B159,$B159,$C$5:$C159,$C159,$W$5:$W159,1)&lt;=COUNTIFS($B$5:$B$204,$B159,$C$5:$C$204,"Парк",$W$5:$W$204,1)),0))</f>
        <v/>
      </c>
      <c r="AG159" s="38" t="str">
        <f aca="false">IF($C159="","",IF($W159=1,IF(OR(AND($AE159&lt;&gt;"",IFERROR(INDEX($W$5:$W$204,MATCH($AE159,$A$5:$A$204,0))=1,FALSE()),IFERROR(INDEX($B$5:$B$204,MATCH($AE159,$A$5:$A$204,0))&lt;&gt;$B159,FALSE())),COUNTIFS($AE$5:$AE$204,$A159,$W$5:$W$204,1,$B$5:$B$204,"&lt;&gt;"&amp;$B159)&gt;0),ИНФА!$F$31,0),0))</f>
        <v/>
      </c>
    </row>
    <row r="160" customFormat="false" ht="15" hidden="false" customHeight="false" outlineLevel="0" collapsed="false">
      <c r="A160" s="15" t="n">
        <v>156</v>
      </c>
      <c r="B160" s="44"/>
      <c r="C160" s="44"/>
      <c r="D160" s="44"/>
      <c r="E160" s="44"/>
      <c r="F160" s="43"/>
      <c r="G160" s="38" t="str">
        <f aca="false">IF($C160="","",IF($F160&lt;&gt;"",$F160,INDEX(ИНФА!$M$5:$M$19,MATCH($C160,ИНФА!$I$5:$I$19,0))))</f>
        <v/>
      </c>
      <c r="H160" s="43"/>
      <c r="I160" s="38" t="str">
        <f aca="false">IF($C160="","",G160-N(H160))</f>
        <v/>
      </c>
      <c r="J160" s="37" t="str">
        <f aca="false">IF($C160="","",INDEX(ИНФА!$J$5:$J$19,MATCH($C160,ИНФА!$I$5:$I$19,0)))</f>
        <v/>
      </c>
      <c r="K160" s="37" t="str">
        <f aca="false">IF($C160="","",INDEX(ИНФА!$K$5:$K$19,MATCH($C160,ИНФА!$I$5:$I$19,0)))</f>
        <v/>
      </c>
      <c r="L160" s="38" t="str">
        <f aca="false">IF($C160="","",INDEX(ИНФА!$O$5:$O$19,MATCH($C160,ИНФА!$I$5:$I$19,0)))</f>
        <v/>
      </c>
      <c r="M160" s="38" t="str">
        <f aca="false">IF($C160="","",INDEX(ИНФА!$P$5:$P$19,MATCH($C160,ИНФА!$I$5:$I$19,0)))</f>
        <v/>
      </c>
      <c r="N160" s="44"/>
      <c r="O160" s="48" t="n">
        <f aca="false">IF(OR($C160="",$N160=""),1,IF(AND($J160="Услуги",IFERROR(INDEX($C$5:$C$204,MATCH($N160,$A$5:$A$204,0))=INDEX(ИНФА!$L$5:$L$19,MATCH($C160,ИНФА!$I$5:$I$19,0)),FALSE()),IFERROR(INDEX($W$5:$W$204,MATCH($N160,$A$5:$A$204,0))=1,FALSE()),COUNTIF($N$5:$N160,$N160)&lt;=ИНФА!$F$16),1+ИНФА!$F$15,1))</f>
        <v>1</v>
      </c>
      <c r="P160" s="47" t="str">
        <f aca="false">IF($C160="","",IF($J160&lt;&gt;"Услуги","",IF($N160="","нет поставщика — нужен "&amp;INDEX(ИНФА!$L$5:$L$19,MATCH($C160,ИНФА!$I$5:$I$19,0)),IF($O160&gt;1,"✓ поставка работает (+50%)",IF(IFERROR(INDEX($C$5:$C$204,MATCH($N160,$A$5:$A$204,0))&lt;&gt;INDEX(ИНФА!$L$5:$L$19,MATCH($C160,ИНФА!$I$5:$I$19,0)),TRUE()),"не тот поставщик: нужен "&amp;INDEX(ИНФА!$L$5:$L$19,MATCH($C160,ИНФА!$I$5:$I$19,0)),IF(COUNTIF($N$5:$N160,$N160)&gt;ИНФА!$F$16,"поставщик перегружен","поставщик ещё не работает или продан"))))))</f>
        <v/>
      </c>
      <c r="Q160" s="44"/>
      <c r="R160" s="48" t="str">
        <f aca="false">IF($C160="","",IF($Q160="",1,IFERROR(INDEX(НАУКА!$K$5:$K$44,MATCH($Q160,НАУКА!$A$5:$A$44,0)),1)))</f>
        <v/>
      </c>
      <c r="S160" s="37" t="str">
        <f aca="false">IF($Q160="","",IFERROR(INDEX(НАУКА!$G$5:$G$44,MATCH($Q160,НАУКА!$A$5:$A$44,0)),""))</f>
        <v/>
      </c>
      <c r="T160" s="44"/>
      <c r="U160" s="44"/>
      <c r="V160" s="43"/>
      <c r="W160" s="37" t="n">
        <f aca="false">IF(OR($C160="",$D160=""),0,IF(AND($D160&lt;ИНФА!$F$5,OR($T160="",$T160&gt;=ИНФА!$F$5)),1,0))</f>
        <v>0</v>
      </c>
      <c r="X160" s="46" t="str">
        <f aca="false">IF($C160="","",INDEX(СОБЫТИЯ!$B$5:$K$8,MATCH($K160,СОБЫТИЯ!$A$5:$A$8,0),ИНФА!$F$5))</f>
        <v/>
      </c>
      <c r="Y160" s="42" t="str">
        <f aca="false">IF($C160="","",IF($W160=1,ROUND($L160*$O160*IF(AND($Q160&lt;&gt;"",$S160&lt;&gt;""),IF($S160&lt;ИНФА!$F$5,$R160,1),1)*$X160,0)-$M160+N($AF160)+N($AG160),0))</f>
        <v/>
      </c>
      <c r="Z160" s="38" t="str">
        <f aca="false">IF($C160="","",IF($T160="",INDEX(ИНФА!$M$5:$M$19,MATCH($C160,ИНФА!$I$5:$I$19,0)),0))</f>
        <v/>
      </c>
      <c r="AA160" s="38" t="str">
        <f aca="false">IF(OR($C160="",$T160=""),"",IF($V160&lt;&gt;"",$V160,INDEX(ИНФА!$N$5:$N$19,MATCH($C160,ИНФА!$I$5:$I$19,0))))</f>
        <v/>
      </c>
      <c r="AB160" s="37" t="str">
        <f aca="false">IF($C160="","",IF($T160&lt;&gt;"",IF($U160&lt;&gt;"","продано компании "&amp;$U160&amp;" в цикле "&amp;$T160,"продано Инфраструктуре в цикле "&amp;$T160),IF($D160&gt;=ИНФА!$F$5,"доход со следующего цикла","приносит доход")))</f>
        <v/>
      </c>
      <c r="AC160" s="47" t="str">
        <f aca="false">IF($C160="","",IF($F160="","",IF($E160="","укажите продавца; ",IF(OR($F160&lt;INDEX(ИНФА!$N$5:$N$19,MATCH($C160,ИНФА!$I$5:$I$19,0)),$F160&gt;INDEX(ИНФА!$M$5:$M$19,MATCH($C160,ИНФА!$I$5:$I$19,0))),"цена покупки вне коридора! ","")))&amp;IF($U160="","",IF(OR($V160="",$T160=""),"укажите цикл и цену продажи; ",IF(OR($V160&lt;INDEX(ИНФА!$N$5:$N$19,MATCH($C160,ИНФА!$I$5:$I$19,0)),$V160&gt;INDEX(ИНФА!$M$5:$M$19,MATCH($C160,ИНФА!$I$5:$I$19,0))),"цена продажи вне коридора! ","")))&amp;IF(AND($T160="",COUNTIFS($C$5:$C160,$C160,$T$5:$T160,"")&gt;INDEX(ИНФА!$Q$5:$Q$19,MATCH($C160,ИНФА!$I$5:$I$19,0))),"лотов нет! ","")&amp;IF(AND($E160&lt;&gt;"",$F160=""),"укажите цену сделки; ","")&amp;IF(AND(N($H160)&gt;0,OR($AD160="",$AD160="Профессия"),OR($H160&gt;ИНФА!$F$29,$I160&lt;INDEX(ИНФА!$N$5:$N$19,MATCH($C160,ИНФА!$I$5:$I$19,0))+ИНФА!$F$30)),"скидка больше лимита или цена ниже выкупа + 500! ","")&amp;IF($AE160="","",IF(IFERROR(INDEX($B$5:$B$204,MATCH($AE160,$A$5:$A$204,0))=$B160,TRUE()),"бизнес-пара — только со зданием другой компании; ",""))&amp;IF($Q160="","",IF(IFERROR(INDEX(НАУКА!$B$5:$B$44,MATCH($Q160,НАУКА!$A$5:$A$44,0))&lt;&gt;$B160,FALSE()),"патент другой компании — нужна лицензия или соглашение; ","")))</f>
        <v/>
      </c>
      <c r="AD160" s="44"/>
      <c r="AE160" s="44"/>
      <c r="AF160" s="38" t="str">
        <f aca="false">IF($C160="","",IF(AND($W160=1,OR($C160="Дом",$C160="Кафе")),ИНФА!$F$17*(COUNTIFS($B$5:$B160,$B160,$C$5:$C160,$C160,$W$5:$W160,1)&lt;=COUNTIFS($B$5:$B$204,$B160,$C$5:$C$204,"Парк",$W$5:$W$204,1)),0))</f>
        <v/>
      </c>
      <c r="AG160" s="38" t="str">
        <f aca="false">IF($C160="","",IF($W160=1,IF(OR(AND($AE160&lt;&gt;"",IFERROR(INDEX($W$5:$W$204,MATCH($AE160,$A$5:$A$204,0))=1,FALSE()),IFERROR(INDEX($B$5:$B$204,MATCH($AE160,$A$5:$A$204,0))&lt;&gt;$B160,FALSE())),COUNTIFS($AE$5:$AE$204,$A160,$W$5:$W$204,1,$B$5:$B$204,"&lt;&gt;"&amp;$B160)&gt;0),ИНФА!$F$31,0),0))</f>
        <v/>
      </c>
    </row>
    <row r="161" customFormat="false" ht="15" hidden="false" customHeight="false" outlineLevel="0" collapsed="false">
      <c r="A161" s="15" t="n">
        <v>157</v>
      </c>
      <c r="B161" s="44"/>
      <c r="C161" s="44"/>
      <c r="D161" s="44"/>
      <c r="E161" s="44"/>
      <c r="F161" s="43"/>
      <c r="G161" s="38" t="str">
        <f aca="false">IF($C161="","",IF($F161&lt;&gt;"",$F161,INDEX(ИНФА!$M$5:$M$19,MATCH($C161,ИНФА!$I$5:$I$19,0))))</f>
        <v/>
      </c>
      <c r="H161" s="43"/>
      <c r="I161" s="38" t="str">
        <f aca="false">IF($C161="","",G161-N(H161))</f>
        <v/>
      </c>
      <c r="J161" s="37" t="str">
        <f aca="false">IF($C161="","",INDEX(ИНФА!$J$5:$J$19,MATCH($C161,ИНФА!$I$5:$I$19,0)))</f>
        <v/>
      </c>
      <c r="K161" s="37" t="str">
        <f aca="false">IF($C161="","",INDEX(ИНФА!$K$5:$K$19,MATCH($C161,ИНФА!$I$5:$I$19,0)))</f>
        <v/>
      </c>
      <c r="L161" s="38" t="str">
        <f aca="false">IF($C161="","",INDEX(ИНФА!$O$5:$O$19,MATCH($C161,ИНФА!$I$5:$I$19,0)))</f>
        <v/>
      </c>
      <c r="M161" s="38" t="str">
        <f aca="false">IF($C161="","",INDEX(ИНФА!$P$5:$P$19,MATCH($C161,ИНФА!$I$5:$I$19,0)))</f>
        <v/>
      </c>
      <c r="N161" s="44"/>
      <c r="O161" s="48" t="n">
        <f aca="false">IF(OR($C161="",$N161=""),1,IF(AND($J161="Услуги",IFERROR(INDEX($C$5:$C$204,MATCH($N161,$A$5:$A$204,0))=INDEX(ИНФА!$L$5:$L$19,MATCH($C161,ИНФА!$I$5:$I$19,0)),FALSE()),IFERROR(INDEX($W$5:$W$204,MATCH($N161,$A$5:$A$204,0))=1,FALSE()),COUNTIF($N$5:$N161,$N161)&lt;=ИНФА!$F$16),1+ИНФА!$F$15,1))</f>
        <v>1</v>
      </c>
      <c r="P161" s="47" t="str">
        <f aca="false">IF($C161="","",IF($J161&lt;&gt;"Услуги","",IF($N161="","нет поставщика — нужен "&amp;INDEX(ИНФА!$L$5:$L$19,MATCH($C161,ИНФА!$I$5:$I$19,0)),IF($O161&gt;1,"✓ поставка работает (+50%)",IF(IFERROR(INDEX($C$5:$C$204,MATCH($N161,$A$5:$A$204,0))&lt;&gt;INDEX(ИНФА!$L$5:$L$19,MATCH($C161,ИНФА!$I$5:$I$19,0)),TRUE()),"не тот поставщик: нужен "&amp;INDEX(ИНФА!$L$5:$L$19,MATCH($C161,ИНФА!$I$5:$I$19,0)),IF(COUNTIF($N$5:$N161,$N161)&gt;ИНФА!$F$16,"поставщик перегружен","поставщик ещё не работает или продан"))))))</f>
        <v/>
      </c>
      <c r="Q161" s="44"/>
      <c r="R161" s="48" t="str">
        <f aca="false">IF($C161="","",IF($Q161="",1,IFERROR(INDEX(НАУКА!$K$5:$K$44,MATCH($Q161,НАУКА!$A$5:$A$44,0)),1)))</f>
        <v/>
      </c>
      <c r="S161" s="37" t="str">
        <f aca="false">IF($Q161="","",IFERROR(INDEX(НАУКА!$G$5:$G$44,MATCH($Q161,НАУКА!$A$5:$A$44,0)),""))</f>
        <v/>
      </c>
      <c r="T161" s="44"/>
      <c r="U161" s="44"/>
      <c r="V161" s="43"/>
      <c r="W161" s="37" t="n">
        <f aca="false">IF(OR($C161="",$D161=""),0,IF(AND($D161&lt;ИНФА!$F$5,OR($T161="",$T161&gt;=ИНФА!$F$5)),1,0))</f>
        <v>0</v>
      </c>
      <c r="X161" s="46" t="str">
        <f aca="false">IF($C161="","",INDEX(СОБЫТИЯ!$B$5:$K$8,MATCH($K161,СОБЫТИЯ!$A$5:$A$8,0),ИНФА!$F$5))</f>
        <v/>
      </c>
      <c r="Y161" s="42" t="str">
        <f aca="false">IF($C161="","",IF($W161=1,ROUND($L161*$O161*IF(AND($Q161&lt;&gt;"",$S161&lt;&gt;""),IF($S161&lt;ИНФА!$F$5,$R161,1),1)*$X161,0)-$M161+N($AF161)+N($AG161),0))</f>
        <v/>
      </c>
      <c r="Z161" s="38" t="str">
        <f aca="false">IF($C161="","",IF($T161="",INDEX(ИНФА!$M$5:$M$19,MATCH($C161,ИНФА!$I$5:$I$19,0)),0))</f>
        <v/>
      </c>
      <c r="AA161" s="38" t="str">
        <f aca="false">IF(OR($C161="",$T161=""),"",IF($V161&lt;&gt;"",$V161,INDEX(ИНФА!$N$5:$N$19,MATCH($C161,ИНФА!$I$5:$I$19,0))))</f>
        <v/>
      </c>
      <c r="AB161" s="37" t="str">
        <f aca="false">IF($C161="","",IF($T161&lt;&gt;"",IF($U161&lt;&gt;"","продано компании "&amp;$U161&amp;" в цикле "&amp;$T161,"продано Инфраструктуре в цикле "&amp;$T161),IF($D161&gt;=ИНФА!$F$5,"доход со следующего цикла","приносит доход")))</f>
        <v/>
      </c>
      <c r="AC161" s="47" t="str">
        <f aca="false">IF($C161="","",IF($F161="","",IF($E161="","укажите продавца; ",IF(OR($F161&lt;INDEX(ИНФА!$N$5:$N$19,MATCH($C161,ИНФА!$I$5:$I$19,0)),$F161&gt;INDEX(ИНФА!$M$5:$M$19,MATCH($C161,ИНФА!$I$5:$I$19,0))),"цена покупки вне коридора! ","")))&amp;IF($U161="","",IF(OR($V161="",$T161=""),"укажите цикл и цену продажи; ",IF(OR($V161&lt;INDEX(ИНФА!$N$5:$N$19,MATCH($C161,ИНФА!$I$5:$I$19,0)),$V161&gt;INDEX(ИНФА!$M$5:$M$19,MATCH($C161,ИНФА!$I$5:$I$19,0))),"цена продажи вне коридора! ","")))&amp;IF(AND($T161="",COUNTIFS($C$5:$C161,$C161,$T$5:$T161,"")&gt;INDEX(ИНФА!$Q$5:$Q$19,MATCH($C161,ИНФА!$I$5:$I$19,0))),"лотов нет! ","")&amp;IF(AND($E161&lt;&gt;"",$F161=""),"укажите цену сделки; ","")&amp;IF(AND(N($H161)&gt;0,OR($AD161="",$AD161="Профессия"),OR($H161&gt;ИНФА!$F$29,$I161&lt;INDEX(ИНФА!$N$5:$N$19,MATCH($C161,ИНФА!$I$5:$I$19,0))+ИНФА!$F$30)),"скидка больше лимита или цена ниже выкупа + 500! ","")&amp;IF($AE161="","",IF(IFERROR(INDEX($B$5:$B$204,MATCH($AE161,$A$5:$A$204,0))=$B161,TRUE()),"бизнес-пара — только со зданием другой компании; ",""))&amp;IF($Q161="","",IF(IFERROR(INDEX(НАУКА!$B$5:$B$44,MATCH($Q161,НАУКА!$A$5:$A$44,0))&lt;&gt;$B161,FALSE()),"патент другой компании — нужна лицензия или соглашение; ","")))</f>
        <v/>
      </c>
      <c r="AD161" s="44"/>
      <c r="AE161" s="44"/>
      <c r="AF161" s="38" t="str">
        <f aca="false">IF($C161="","",IF(AND($W161=1,OR($C161="Дом",$C161="Кафе")),ИНФА!$F$17*(COUNTIFS($B$5:$B161,$B161,$C$5:$C161,$C161,$W$5:$W161,1)&lt;=COUNTIFS($B$5:$B$204,$B161,$C$5:$C$204,"Парк",$W$5:$W$204,1)),0))</f>
        <v/>
      </c>
      <c r="AG161" s="38" t="str">
        <f aca="false">IF($C161="","",IF($W161=1,IF(OR(AND($AE161&lt;&gt;"",IFERROR(INDEX($W$5:$W$204,MATCH($AE161,$A$5:$A$204,0))=1,FALSE()),IFERROR(INDEX($B$5:$B$204,MATCH($AE161,$A$5:$A$204,0))&lt;&gt;$B161,FALSE())),COUNTIFS($AE$5:$AE$204,$A161,$W$5:$W$204,1,$B$5:$B$204,"&lt;&gt;"&amp;$B161)&gt;0),ИНФА!$F$31,0),0))</f>
        <v/>
      </c>
    </row>
    <row r="162" customFormat="false" ht="15" hidden="false" customHeight="false" outlineLevel="0" collapsed="false">
      <c r="A162" s="15" t="n">
        <v>158</v>
      </c>
      <c r="B162" s="44"/>
      <c r="C162" s="44"/>
      <c r="D162" s="44"/>
      <c r="E162" s="44"/>
      <c r="F162" s="43"/>
      <c r="G162" s="38" t="str">
        <f aca="false">IF($C162="","",IF($F162&lt;&gt;"",$F162,INDEX(ИНФА!$M$5:$M$19,MATCH($C162,ИНФА!$I$5:$I$19,0))))</f>
        <v/>
      </c>
      <c r="H162" s="43"/>
      <c r="I162" s="38" t="str">
        <f aca="false">IF($C162="","",G162-N(H162))</f>
        <v/>
      </c>
      <c r="J162" s="37" t="str">
        <f aca="false">IF($C162="","",INDEX(ИНФА!$J$5:$J$19,MATCH($C162,ИНФА!$I$5:$I$19,0)))</f>
        <v/>
      </c>
      <c r="K162" s="37" t="str">
        <f aca="false">IF($C162="","",INDEX(ИНФА!$K$5:$K$19,MATCH($C162,ИНФА!$I$5:$I$19,0)))</f>
        <v/>
      </c>
      <c r="L162" s="38" t="str">
        <f aca="false">IF($C162="","",INDEX(ИНФА!$O$5:$O$19,MATCH($C162,ИНФА!$I$5:$I$19,0)))</f>
        <v/>
      </c>
      <c r="M162" s="38" t="str">
        <f aca="false">IF($C162="","",INDEX(ИНФА!$P$5:$P$19,MATCH($C162,ИНФА!$I$5:$I$19,0)))</f>
        <v/>
      </c>
      <c r="N162" s="44"/>
      <c r="O162" s="48" t="n">
        <f aca="false">IF(OR($C162="",$N162=""),1,IF(AND($J162="Услуги",IFERROR(INDEX($C$5:$C$204,MATCH($N162,$A$5:$A$204,0))=INDEX(ИНФА!$L$5:$L$19,MATCH($C162,ИНФА!$I$5:$I$19,0)),FALSE()),IFERROR(INDEX($W$5:$W$204,MATCH($N162,$A$5:$A$204,0))=1,FALSE()),COUNTIF($N$5:$N162,$N162)&lt;=ИНФА!$F$16),1+ИНФА!$F$15,1))</f>
        <v>1</v>
      </c>
      <c r="P162" s="47" t="str">
        <f aca="false">IF($C162="","",IF($J162&lt;&gt;"Услуги","",IF($N162="","нет поставщика — нужен "&amp;INDEX(ИНФА!$L$5:$L$19,MATCH($C162,ИНФА!$I$5:$I$19,0)),IF($O162&gt;1,"✓ поставка работает (+50%)",IF(IFERROR(INDEX($C$5:$C$204,MATCH($N162,$A$5:$A$204,0))&lt;&gt;INDEX(ИНФА!$L$5:$L$19,MATCH($C162,ИНФА!$I$5:$I$19,0)),TRUE()),"не тот поставщик: нужен "&amp;INDEX(ИНФА!$L$5:$L$19,MATCH($C162,ИНФА!$I$5:$I$19,0)),IF(COUNTIF($N$5:$N162,$N162)&gt;ИНФА!$F$16,"поставщик перегружен","поставщик ещё не работает или продан"))))))</f>
        <v/>
      </c>
      <c r="Q162" s="44"/>
      <c r="R162" s="48" t="str">
        <f aca="false">IF($C162="","",IF($Q162="",1,IFERROR(INDEX(НАУКА!$K$5:$K$44,MATCH($Q162,НАУКА!$A$5:$A$44,0)),1)))</f>
        <v/>
      </c>
      <c r="S162" s="37" t="str">
        <f aca="false">IF($Q162="","",IFERROR(INDEX(НАУКА!$G$5:$G$44,MATCH($Q162,НАУКА!$A$5:$A$44,0)),""))</f>
        <v/>
      </c>
      <c r="T162" s="44"/>
      <c r="U162" s="44"/>
      <c r="V162" s="43"/>
      <c r="W162" s="37" t="n">
        <f aca="false">IF(OR($C162="",$D162=""),0,IF(AND($D162&lt;ИНФА!$F$5,OR($T162="",$T162&gt;=ИНФА!$F$5)),1,0))</f>
        <v>0</v>
      </c>
      <c r="X162" s="46" t="str">
        <f aca="false">IF($C162="","",INDEX(СОБЫТИЯ!$B$5:$K$8,MATCH($K162,СОБЫТИЯ!$A$5:$A$8,0),ИНФА!$F$5))</f>
        <v/>
      </c>
      <c r="Y162" s="42" t="str">
        <f aca="false">IF($C162="","",IF($W162=1,ROUND($L162*$O162*IF(AND($Q162&lt;&gt;"",$S162&lt;&gt;""),IF($S162&lt;ИНФА!$F$5,$R162,1),1)*$X162,0)-$M162+N($AF162)+N($AG162),0))</f>
        <v/>
      </c>
      <c r="Z162" s="38" t="str">
        <f aca="false">IF($C162="","",IF($T162="",INDEX(ИНФА!$M$5:$M$19,MATCH($C162,ИНФА!$I$5:$I$19,0)),0))</f>
        <v/>
      </c>
      <c r="AA162" s="38" t="str">
        <f aca="false">IF(OR($C162="",$T162=""),"",IF($V162&lt;&gt;"",$V162,INDEX(ИНФА!$N$5:$N$19,MATCH($C162,ИНФА!$I$5:$I$19,0))))</f>
        <v/>
      </c>
      <c r="AB162" s="37" t="str">
        <f aca="false">IF($C162="","",IF($T162&lt;&gt;"",IF($U162&lt;&gt;"","продано компании "&amp;$U162&amp;" в цикле "&amp;$T162,"продано Инфраструктуре в цикле "&amp;$T162),IF($D162&gt;=ИНФА!$F$5,"доход со следующего цикла","приносит доход")))</f>
        <v/>
      </c>
      <c r="AC162" s="47" t="str">
        <f aca="false">IF($C162="","",IF($F162="","",IF($E162="","укажите продавца; ",IF(OR($F162&lt;INDEX(ИНФА!$N$5:$N$19,MATCH($C162,ИНФА!$I$5:$I$19,0)),$F162&gt;INDEX(ИНФА!$M$5:$M$19,MATCH($C162,ИНФА!$I$5:$I$19,0))),"цена покупки вне коридора! ","")))&amp;IF($U162="","",IF(OR($V162="",$T162=""),"укажите цикл и цену продажи; ",IF(OR($V162&lt;INDEX(ИНФА!$N$5:$N$19,MATCH($C162,ИНФА!$I$5:$I$19,0)),$V162&gt;INDEX(ИНФА!$M$5:$M$19,MATCH($C162,ИНФА!$I$5:$I$19,0))),"цена продажи вне коридора! ","")))&amp;IF(AND($T162="",COUNTIFS($C$5:$C162,$C162,$T$5:$T162,"")&gt;INDEX(ИНФА!$Q$5:$Q$19,MATCH($C162,ИНФА!$I$5:$I$19,0))),"лотов нет! ","")&amp;IF(AND($E162&lt;&gt;"",$F162=""),"укажите цену сделки; ","")&amp;IF(AND(N($H162)&gt;0,OR($AD162="",$AD162="Профессия"),OR($H162&gt;ИНФА!$F$29,$I162&lt;INDEX(ИНФА!$N$5:$N$19,MATCH($C162,ИНФА!$I$5:$I$19,0))+ИНФА!$F$30)),"скидка больше лимита или цена ниже выкупа + 500! ","")&amp;IF($AE162="","",IF(IFERROR(INDEX($B$5:$B$204,MATCH($AE162,$A$5:$A$204,0))=$B162,TRUE()),"бизнес-пара — только со зданием другой компании; ",""))&amp;IF($Q162="","",IF(IFERROR(INDEX(НАУКА!$B$5:$B$44,MATCH($Q162,НАУКА!$A$5:$A$44,0))&lt;&gt;$B162,FALSE()),"патент другой компании — нужна лицензия или соглашение; ","")))</f>
        <v/>
      </c>
      <c r="AD162" s="44"/>
      <c r="AE162" s="44"/>
      <c r="AF162" s="38" t="str">
        <f aca="false">IF($C162="","",IF(AND($W162=1,OR($C162="Дом",$C162="Кафе")),ИНФА!$F$17*(COUNTIFS($B$5:$B162,$B162,$C$5:$C162,$C162,$W$5:$W162,1)&lt;=COUNTIFS($B$5:$B$204,$B162,$C$5:$C$204,"Парк",$W$5:$W$204,1)),0))</f>
        <v/>
      </c>
      <c r="AG162" s="38" t="str">
        <f aca="false">IF($C162="","",IF($W162=1,IF(OR(AND($AE162&lt;&gt;"",IFERROR(INDEX($W$5:$W$204,MATCH($AE162,$A$5:$A$204,0))=1,FALSE()),IFERROR(INDEX($B$5:$B$204,MATCH($AE162,$A$5:$A$204,0))&lt;&gt;$B162,FALSE())),COUNTIFS($AE$5:$AE$204,$A162,$W$5:$W$204,1,$B$5:$B$204,"&lt;&gt;"&amp;$B162)&gt;0),ИНФА!$F$31,0),0))</f>
        <v/>
      </c>
    </row>
    <row r="163" customFormat="false" ht="15" hidden="false" customHeight="false" outlineLevel="0" collapsed="false">
      <c r="A163" s="15" t="n">
        <v>159</v>
      </c>
      <c r="B163" s="44"/>
      <c r="C163" s="44"/>
      <c r="D163" s="44"/>
      <c r="E163" s="44"/>
      <c r="F163" s="43"/>
      <c r="G163" s="38" t="str">
        <f aca="false">IF($C163="","",IF($F163&lt;&gt;"",$F163,INDEX(ИНФА!$M$5:$M$19,MATCH($C163,ИНФА!$I$5:$I$19,0))))</f>
        <v/>
      </c>
      <c r="H163" s="43"/>
      <c r="I163" s="38" t="str">
        <f aca="false">IF($C163="","",G163-N(H163))</f>
        <v/>
      </c>
      <c r="J163" s="37" t="str">
        <f aca="false">IF($C163="","",INDEX(ИНФА!$J$5:$J$19,MATCH($C163,ИНФА!$I$5:$I$19,0)))</f>
        <v/>
      </c>
      <c r="K163" s="37" t="str">
        <f aca="false">IF($C163="","",INDEX(ИНФА!$K$5:$K$19,MATCH($C163,ИНФА!$I$5:$I$19,0)))</f>
        <v/>
      </c>
      <c r="L163" s="38" t="str">
        <f aca="false">IF($C163="","",INDEX(ИНФА!$O$5:$O$19,MATCH($C163,ИНФА!$I$5:$I$19,0)))</f>
        <v/>
      </c>
      <c r="M163" s="38" t="str">
        <f aca="false">IF($C163="","",INDEX(ИНФА!$P$5:$P$19,MATCH($C163,ИНФА!$I$5:$I$19,0)))</f>
        <v/>
      </c>
      <c r="N163" s="44"/>
      <c r="O163" s="48" t="n">
        <f aca="false">IF(OR($C163="",$N163=""),1,IF(AND($J163="Услуги",IFERROR(INDEX($C$5:$C$204,MATCH($N163,$A$5:$A$204,0))=INDEX(ИНФА!$L$5:$L$19,MATCH($C163,ИНФА!$I$5:$I$19,0)),FALSE()),IFERROR(INDEX($W$5:$W$204,MATCH($N163,$A$5:$A$204,0))=1,FALSE()),COUNTIF($N$5:$N163,$N163)&lt;=ИНФА!$F$16),1+ИНФА!$F$15,1))</f>
        <v>1</v>
      </c>
      <c r="P163" s="47" t="str">
        <f aca="false">IF($C163="","",IF($J163&lt;&gt;"Услуги","",IF($N163="","нет поставщика — нужен "&amp;INDEX(ИНФА!$L$5:$L$19,MATCH($C163,ИНФА!$I$5:$I$19,0)),IF($O163&gt;1,"✓ поставка работает (+50%)",IF(IFERROR(INDEX($C$5:$C$204,MATCH($N163,$A$5:$A$204,0))&lt;&gt;INDEX(ИНФА!$L$5:$L$19,MATCH($C163,ИНФА!$I$5:$I$19,0)),TRUE()),"не тот поставщик: нужен "&amp;INDEX(ИНФА!$L$5:$L$19,MATCH($C163,ИНФА!$I$5:$I$19,0)),IF(COUNTIF($N$5:$N163,$N163)&gt;ИНФА!$F$16,"поставщик перегружен","поставщик ещё не работает или продан"))))))</f>
        <v/>
      </c>
      <c r="Q163" s="44"/>
      <c r="R163" s="48" t="str">
        <f aca="false">IF($C163="","",IF($Q163="",1,IFERROR(INDEX(НАУКА!$K$5:$K$44,MATCH($Q163,НАУКА!$A$5:$A$44,0)),1)))</f>
        <v/>
      </c>
      <c r="S163" s="37" t="str">
        <f aca="false">IF($Q163="","",IFERROR(INDEX(НАУКА!$G$5:$G$44,MATCH($Q163,НАУКА!$A$5:$A$44,0)),""))</f>
        <v/>
      </c>
      <c r="T163" s="44"/>
      <c r="U163" s="44"/>
      <c r="V163" s="43"/>
      <c r="W163" s="37" t="n">
        <f aca="false">IF(OR($C163="",$D163=""),0,IF(AND($D163&lt;ИНФА!$F$5,OR($T163="",$T163&gt;=ИНФА!$F$5)),1,0))</f>
        <v>0</v>
      </c>
      <c r="X163" s="46" t="str">
        <f aca="false">IF($C163="","",INDEX(СОБЫТИЯ!$B$5:$K$8,MATCH($K163,СОБЫТИЯ!$A$5:$A$8,0),ИНФА!$F$5))</f>
        <v/>
      </c>
      <c r="Y163" s="42" t="str">
        <f aca="false">IF($C163="","",IF($W163=1,ROUND($L163*$O163*IF(AND($Q163&lt;&gt;"",$S163&lt;&gt;""),IF($S163&lt;ИНФА!$F$5,$R163,1),1)*$X163,0)-$M163+N($AF163)+N($AG163),0))</f>
        <v/>
      </c>
      <c r="Z163" s="38" t="str">
        <f aca="false">IF($C163="","",IF($T163="",INDEX(ИНФА!$M$5:$M$19,MATCH($C163,ИНФА!$I$5:$I$19,0)),0))</f>
        <v/>
      </c>
      <c r="AA163" s="38" t="str">
        <f aca="false">IF(OR($C163="",$T163=""),"",IF($V163&lt;&gt;"",$V163,INDEX(ИНФА!$N$5:$N$19,MATCH($C163,ИНФА!$I$5:$I$19,0))))</f>
        <v/>
      </c>
      <c r="AB163" s="37" t="str">
        <f aca="false">IF($C163="","",IF($T163&lt;&gt;"",IF($U163&lt;&gt;"","продано компании "&amp;$U163&amp;" в цикле "&amp;$T163,"продано Инфраструктуре в цикле "&amp;$T163),IF($D163&gt;=ИНФА!$F$5,"доход со следующего цикла","приносит доход")))</f>
        <v/>
      </c>
      <c r="AC163" s="47" t="str">
        <f aca="false">IF($C163="","",IF($F163="","",IF($E163="","укажите продавца; ",IF(OR($F163&lt;INDEX(ИНФА!$N$5:$N$19,MATCH($C163,ИНФА!$I$5:$I$19,0)),$F163&gt;INDEX(ИНФА!$M$5:$M$19,MATCH($C163,ИНФА!$I$5:$I$19,0))),"цена покупки вне коридора! ","")))&amp;IF($U163="","",IF(OR($V163="",$T163=""),"укажите цикл и цену продажи; ",IF(OR($V163&lt;INDEX(ИНФА!$N$5:$N$19,MATCH($C163,ИНФА!$I$5:$I$19,0)),$V163&gt;INDEX(ИНФА!$M$5:$M$19,MATCH($C163,ИНФА!$I$5:$I$19,0))),"цена продажи вне коридора! ","")))&amp;IF(AND($T163="",COUNTIFS($C$5:$C163,$C163,$T$5:$T163,"")&gt;INDEX(ИНФА!$Q$5:$Q$19,MATCH($C163,ИНФА!$I$5:$I$19,0))),"лотов нет! ","")&amp;IF(AND($E163&lt;&gt;"",$F163=""),"укажите цену сделки; ","")&amp;IF(AND(N($H163)&gt;0,OR($AD163="",$AD163="Профессия"),OR($H163&gt;ИНФА!$F$29,$I163&lt;INDEX(ИНФА!$N$5:$N$19,MATCH($C163,ИНФА!$I$5:$I$19,0))+ИНФА!$F$30)),"скидка больше лимита или цена ниже выкупа + 500! ","")&amp;IF($AE163="","",IF(IFERROR(INDEX($B$5:$B$204,MATCH($AE163,$A$5:$A$204,0))=$B163,TRUE()),"бизнес-пара — только со зданием другой компании; ",""))&amp;IF($Q163="","",IF(IFERROR(INDEX(НАУКА!$B$5:$B$44,MATCH($Q163,НАУКА!$A$5:$A$44,0))&lt;&gt;$B163,FALSE()),"патент другой компании — нужна лицензия или соглашение; ","")))</f>
        <v/>
      </c>
      <c r="AD163" s="44"/>
      <c r="AE163" s="44"/>
      <c r="AF163" s="38" t="str">
        <f aca="false">IF($C163="","",IF(AND($W163=1,OR($C163="Дом",$C163="Кафе")),ИНФА!$F$17*(COUNTIFS($B$5:$B163,$B163,$C$5:$C163,$C163,$W$5:$W163,1)&lt;=COUNTIFS($B$5:$B$204,$B163,$C$5:$C$204,"Парк",$W$5:$W$204,1)),0))</f>
        <v/>
      </c>
      <c r="AG163" s="38" t="str">
        <f aca="false">IF($C163="","",IF($W163=1,IF(OR(AND($AE163&lt;&gt;"",IFERROR(INDEX($W$5:$W$204,MATCH($AE163,$A$5:$A$204,0))=1,FALSE()),IFERROR(INDEX($B$5:$B$204,MATCH($AE163,$A$5:$A$204,0))&lt;&gt;$B163,FALSE())),COUNTIFS($AE$5:$AE$204,$A163,$W$5:$W$204,1,$B$5:$B$204,"&lt;&gt;"&amp;$B163)&gt;0),ИНФА!$F$31,0),0))</f>
        <v/>
      </c>
    </row>
    <row r="164" customFormat="false" ht="15" hidden="false" customHeight="false" outlineLevel="0" collapsed="false">
      <c r="A164" s="15" t="n">
        <v>160</v>
      </c>
      <c r="B164" s="44"/>
      <c r="C164" s="44"/>
      <c r="D164" s="44"/>
      <c r="E164" s="44"/>
      <c r="F164" s="43"/>
      <c r="G164" s="38" t="str">
        <f aca="false">IF($C164="","",IF($F164&lt;&gt;"",$F164,INDEX(ИНФА!$M$5:$M$19,MATCH($C164,ИНФА!$I$5:$I$19,0))))</f>
        <v/>
      </c>
      <c r="H164" s="43"/>
      <c r="I164" s="38" t="str">
        <f aca="false">IF($C164="","",G164-N(H164))</f>
        <v/>
      </c>
      <c r="J164" s="37" t="str">
        <f aca="false">IF($C164="","",INDEX(ИНФА!$J$5:$J$19,MATCH($C164,ИНФА!$I$5:$I$19,0)))</f>
        <v/>
      </c>
      <c r="K164" s="37" t="str">
        <f aca="false">IF($C164="","",INDEX(ИНФА!$K$5:$K$19,MATCH($C164,ИНФА!$I$5:$I$19,0)))</f>
        <v/>
      </c>
      <c r="L164" s="38" t="str">
        <f aca="false">IF($C164="","",INDEX(ИНФА!$O$5:$O$19,MATCH($C164,ИНФА!$I$5:$I$19,0)))</f>
        <v/>
      </c>
      <c r="M164" s="38" t="str">
        <f aca="false">IF($C164="","",INDEX(ИНФА!$P$5:$P$19,MATCH($C164,ИНФА!$I$5:$I$19,0)))</f>
        <v/>
      </c>
      <c r="N164" s="44"/>
      <c r="O164" s="48" t="n">
        <f aca="false">IF(OR($C164="",$N164=""),1,IF(AND($J164="Услуги",IFERROR(INDEX($C$5:$C$204,MATCH($N164,$A$5:$A$204,0))=INDEX(ИНФА!$L$5:$L$19,MATCH($C164,ИНФА!$I$5:$I$19,0)),FALSE()),IFERROR(INDEX($W$5:$W$204,MATCH($N164,$A$5:$A$204,0))=1,FALSE()),COUNTIF($N$5:$N164,$N164)&lt;=ИНФА!$F$16),1+ИНФА!$F$15,1))</f>
        <v>1</v>
      </c>
      <c r="P164" s="47" t="str">
        <f aca="false">IF($C164="","",IF($J164&lt;&gt;"Услуги","",IF($N164="","нет поставщика — нужен "&amp;INDEX(ИНФА!$L$5:$L$19,MATCH($C164,ИНФА!$I$5:$I$19,0)),IF($O164&gt;1,"✓ поставка работает (+50%)",IF(IFERROR(INDEX($C$5:$C$204,MATCH($N164,$A$5:$A$204,0))&lt;&gt;INDEX(ИНФА!$L$5:$L$19,MATCH($C164,ИНФА!$I$5:$I$19,0)),TRUE()),"не тот поставщик: нужен "&amp;INDEX(ИНФА!$L$5:$L$19,MATCH($C164,ИНФА!$I$5:$I$19,0)),IF(COUNTIF($N$5:$N164,$N164)&gt;ИНФА!$F$16,"поставщик перегружен","поставщик ещё не работает или продан"))))))</f>
        <v/>
      </c>
      <c r="Q164" s="44"/>
      <c r="R164" s="48" t="str">
        <f aca="false">IF($C164="","",IF($Q164="",1,IFERROR(INDEX(НАУКА!$K$5:$K$44,MATCH($Q164,НАУКА!$A$5:$A$44,0)),1)))</f>
        <v/>
      </c>
      <c r="S164" s="37" t="str">
        <f aca="false">IF($Q164="","",IFERROR(INDEX(НАУКА!$G$5:$G$44,MATCH($Q164,НАУКА!$A$5:$A$44,0)),""))</f>
        <v/>
      </c>
      <c r="T164" s="44"/>
      <c r="U164" s="44"/>
      <c r="V164" s="43"/>
      <c r="W164" s="37" t="n">
        <f aca="false">IF(OR($C164="",$D164=""),0,IF(AND($D164&lt;ИНФА!$F$5,OR($T164="",$T164&gt;=ИНФА!$F$5)),1,0))</f>
        <v>0</v>
      </c>
      <c r="X164" s="46" t="str">
        <f aca="false">IF($C164="","",INDEX(СОБЫТИЯ!$B$5:$K$8,MATCH($K164,СОБЫТИЯ!$A$5:$A$8,0),ИНФА!$F$5))</f>
        <v/>
      </c>
      <c r="Y164" s="42" t="str">
        <f aca="false">IF($C164="","",IF($W164=1,ROUND($L164*$O164*IF(AND($Q164&lt;&gt;"",$S164&lt;&gt;""),IF($S164&lt;ИНФА!$F$5,$R164,1),1)*$X164,0)-$M164+N($AF164)+N($AG164),0))</f>
        <v/>
      </c>
      <c r="Z164" s="38" t="str">
        <f aca="false">IF($C164="","",IF($T164="",INDEX(ИНФА!$M$5:$M$19,MATCH($C164,ИНФА!$I$5:$I$19,0)),0))</f>
        <v/>
      </c>
      <c r="AA164" s="38" t="str">
        <f aca="false">IF(OR($C164="",$T164=""),"",IF($V164&lt;&gt;"",$V164,INDEX(ИНФА!$N$5:$N$19,MATCH($C164,ИНФА!$I$5:$I$19,0))))</f>
        <v/>
      </c>
      <c r="AB164" s="37" t="str">
        <f aca="false">IF($C164="","",IF($T164&lt;&gt;"",IF($U164&lt;&gt;"","продано компании "&amp;$U164&amp;" в цикле "&amp;$T164,"продано Инфраструктуре в цикле "&amp;$T164),IF($D164&gt;=ИНФА!$F$5,"доход со следующего цикла","приносит доход")))</f>
        <v/>
      </c>
      <c r="AC164" s="47" t="str">
        <f aca="false">IF($C164="","",IF($F164="","",IF($E164="","укажите продавца; ",IF(OR($F164&lt;INDEX(ИНФА!$N$5:$N$19,MATCH($C164,ИНФА!$I$5:$I$19,0)),$F164&gt;INDEX(ИНФА!$M$5:$M$19,MATCH($C164,ИНФА!$I$5:$I$19,0))),"цена покупки вне коридора! ","")))&amp;IF($U164="","",IF(OR($V164="",$T164=""),"укажите цикл и цену продажи; ",IF(OR($V164&lt;INDEX(ИНФА!$N$5:$N$19,MATCH($C164,ИНФА!$I$5:$I$19,0)),$V164&gt;INDEX(ИНФА!$M$5:$M$19,MATCH($C164,ИНФА!$I$5:$I$19,0))),"цена продажи вне коридора! ","")))&amp;IF(AND($T164="",COUNTIFS($C$5:$C164,$C164,$T$5:$T164,"")&gt;INDEX(ИНФА!$Q$5:$Q$19,MATCH($C164,ИНФА!$I$5:$I$19,0))),"лотов нет! ","")&amp;IF(AND($E164&lt;&gt;"",$F164=""),"укажите цену сделки; ","")&amp;IF(AND(N($H164)&gt;0,OR($AD164="",$AD164="Профессия"),OR($H164&gt;ИНФА!$F$29,$I164&lt;INDEX(ИНФА!$N$5:$N$19,MATCH($C164,ИНФА!$I$5:$I$19,0))+ИНФА!$F$30)),"скидка больше лимита или цена ниже выкупа + 500! ","")&amp;IF($AE164="","",IF(IFERROR(INDEX($B$5:$B$204,MATCH($AE164,$A$5:$A$204,0))=$B164,TRUE()),"бизнес-пара — только со зданием другой компании; ",""))&amp;IF($Q164="","",IF(IFERROR(INDEX(НАУКА!$B$5:$B$44,MATCH($Q164,НАУКА!$A$5:$A$44,0))&lt;&gt;$B164,FALSE()),"патент другой компании — нужна лицензия или соглашение; ","")))</f>
        <v/>
      </c>
      <c r="AD164" s="44"/>
      <c r="AE164" s="44"/>
      <c r="AF164" s="38" t="str">
        <f aca="false">IF($C164="","",IF(AND($W164=1,OR($C164="Дом",$C164="Кафе")),ИНФА!$F$17*(COUNTIFS($B$5:$B164,$B164,$C$5:$C164,$C164,$W$5:$W164,1)&lt;=COUNTIFS($B$5:$B$204,$B164,$C$5:$C$204,"Парк",$W$5:$W$204,1)),0))</f>
        <v/>
      </c>
      <c r="AG164" s="38" t="str">
        <f aca="false">IF($C164="","",IF($W164=1,IF(OR(AND($AE164&lt;&gt;"",IFERROR(INDEX($W$5:$W$204,MATCH($AE164,$A$5:$A$204,0))=1,FALSE()),IFERROR(INDEX($B$5:$B$204,MATCH($AE164,$A$5:$A$204,0))&lt;&gt;$B164,FALSE())),COUNTIFS($AE$5:$AE$204,$A164,$W$5:$W$204,1,$B$5:$B$204,"&lt;&gt;"&amp;$B164)&gt;0),ИНФА!$F$31,0),0))</f>
        <v/>
      </c>
    </row>
    <row r="165" customFormat="false" ht="15" hidden="false" customHeight="false" outlineLevel="0" collapsed="false">
      <c r="A165" s="15" t="n">
        <v>161</v>
      </c>
      <c r="B165" s="44"/>
      <c r="C165" s="44"/>
      <c r="D165" s="44"/>
      <c r="E165" s="44"/>
      <c r="F165" s="43"/>
      <c r="G165" s="38" t="str">
        <f aca="false">IF($C165="","",IF($F165&lt;&gt;"",$F165,INDEX(ИНФА!$M$5:$M$19,MATCH($C165,ИНФА!$I$5:$I$19,0))))</f>
        <v/>
      </c>
      <c r="H165" s="43"/>
      <c r="I165" s="38" t="str">
        <f aca="false">IF($C165="","",G165-N(H165))</f>
        <v/>
      </c>
      <c r="J165" s="37" t="str">
        <f aca="false">IF($C165="","",INDEX(ИНФА!$J$5:$J$19,MATCH($C165,ИНФА!$I$5:$I$19,0)))</f>
        <v/>
      </c>
      <c r="K165" s="37" t="str">
        <f aca="false">IF($C165="","",INDEX(ИНФА!$K$5:$K$19,MATCH($C165,ИНФА!$I$5:$I$19,0)))</f>
        <v/>
      </c>
      <c r="L165" s="38" t="str">
        <f aca="false">IF($C165="","",INDEX(ИНФА!$O$5:$O$19,MATCH($C165,ИНФА!$I$5:$I$19,0)))</f>
        <v/>
      </c>
      <c r="M165" s="38" t="str">
        <f aca="false">IF($C165="","",INDEX(ИНФА!$P$5:$P$19,MATCH($C165,ИНФА!$I$5:$I$19,0)))</f>
        <v/>
      </c>
      <c r="N165" s="44"/>
      <c r="O165" s="48" t="n">
        <f aca="false">IF(OR($C165="",$N165=""),1,IF(AND($J165="Услуги",IFERROR(INDEX($C$5:$C$204,MATCH($N165,$A$5:$A$204,0))=INDEX(ИНФА!$L$5:$L$19,MATCH($C165,ИНФА!$I$5:$I$19,0)),FALSE()),IFERROR(INDEX($W$5:$W$204,MATCH($N165,$A$5:$A$204,0))=1,FALSE()),COUNTIF($N$5:$N165,$N165)&lt;=ИНФА!$F$16),1+ИНФА!$F$15,1))</f>
        <v>1</v>
      </c>
      <c r="P165" s="47" t="str">
        <f aca="false">IF($C165="","",IF($J165&lt;&gt;"Услуги","",IF($N165="","нет поставщика — нужен "&amp;INDEX(ИНФА!$L$5:$L$19,MATCH($C165,ИНФА!$I$5:$I$19,0)),IF($O165&gt;1,"✓ поставка работает (+50%)",IF(IFERROR(INDEX($C$5:$C$204,MATCH($N165,$A$5:$A$204,0))&lt;&gt;INDEX(ИНФА!$L$5:$L$19,MATCH($C165,ИНФА!$I$5:$I$19,0)),TRUE()),"не тот поставщик: нужен "&amp;INDEX(ИНФА!$L$5:$L$19,MATCH($C165,ИНФА!$I$5:$I$19,0)),IF(COUNTIF($N$5:$N165,$N165)&gt;ИНФА!$F$16,"поставщик перегружен","поставщик ещё не работает или продан"))))))</f>
        <v/>
      </c>
      <c r="Q165" s="44"/>
      <c r="R165" s="48" t="str">
        <f aca="false">IF($C165="","",IF($Q165="",1,IFERROR(INDEX(НАУКА!$K$5:$K$44,MATCH($Q165,НАУКА!$A$5:$A$44,0)),1)))</f>
        <v/>
      </c>
      <c r="S165" s="37" t="str">
        <f aca="false">IF($Q165="","",IFERROR(INDEX(НАУКА!$G$5:$G$44,MATCH($Q165,НАУКА!$A$5:$A$44,0)),""))</f>
        <v/>
      </c>
      <c r="T165" s="44"/>
      <c r="U165" s="44"/>
      <c r="V165" s="43"/>
      <c r="W165" s="37" t="n">
        <f aca="false">IF(OR($C165="",$D165=""),0,IF(AND($D165&lt;ИНФА!$F$5,OR($T165="",$T165&gt;=ИНФА!$F$5)),1,0))</f>
        <v>0</v>
      </c>
      <c r="X165" s="46" t="str">
        <f aca="false">IF($C165="","",INDEX(СОБЫТИЯ!$B$5:$K$8,MATCH($K165,СОБЫТИЯ!$A$5:$A$8,0),ИНФА!$F$5))</f>
        <v/>
      </c>
      <c r="Y165" s="42" t="str">
        <f aca="false">IF($C165="","",IF($W165=1,ROUND($L165*$O165*IF(AND($Q165&lt;&gt;"",$S165&lt;&gt;""),IF($S165&lt;ИНФА!$F$5,$R165,1),1)*$X165,0)-$M165+N($AF165)+N($AG165),0))</f>
        <v/>
      </c>
      <c r="Z165" s="38" t="str">
        <f aca="false">IF($C165="","",IF($T165="",INDEX(ИНФА!$M$5:$M$19,MATCH($C165,ИНФА!$I$5:$I$19,0)),0))</f>
        <v/>
      </c>
      <c r="AA165" s="38" t="str">
        <f aca="false">IF(OR($C165="",$T165=""),"",IF($V165&lt;&gt;"",$V165,INDEX(ИНФА!$N$5:$N$19,MATCH($C165,ИНФА!$I$5:$I$19,0))))</f>
        <v/>
      </c>
      <c r="AB165" s="37" t="str">
        <f aca="false">IF($C165="","",IF($T165&lt;&gt;"",IF($U165&lt;&gt;"","продано компании "&amp;$U165&amp;" в цикле "&amp;$T165,"продано Инфраструктуре в цикле "&amp;$T165),IF($D165&gt;=ИНФА!$F$5,"доход со следующего цикла","приносит доход")))</f>
        <v/>
      </c>
      <c r="AC165" s="47" t="str">
        <f aca="false">IF($C165="","",IF($F165="","",IF($E165="","укажите продавца; ",IF(OR($F165&lt;INDEX(ИНФА!$N$5:$N$19,MATCH($C165,ИНФА!$I$5:$I$19,0)),$F165&gt;INDEX(ИНФА!$M$5:$M$19,MATCH($C165,ИНФА!$I$5:$I$19,0))),"цена покупки вне коридора! ","")))&amp;IF($U165="","",IF(OR($V165="",$T165=""),"укажите цикл и цену продажи; ",IF(OR($V165&lt;INDEX(ИНФА!$N$5:$N$19,MATCH($C165,ИНФА!$I$5:$I$19,0)),$V165&gt;INDEX(ИНФА!$M$5:$M$19,MATCH($C165,ИНФА!$I$5:$I$19,0))),"цена продажи вне коридора! ","")))&amp;IF(AND($T165="",COUNTIFS($C$5:$C165,$C165,$T$5:$T165,"")&gt;INDEX(ИНФА!$Q$5:$Q$19,MATCH($C165,ИНФА!$I$5:$I$19,0))),"лотов нет! ","")&amp;IF(AND($E165&lt;&gt;"",$F165=""),"укажите цену сделки; ","")&amp;IF(AND(N($H165)&gt;0,OR($AD165="",$AD165="Профессия"),OR($H165&gt;ИНФА!$F$29,$I165&lt;INDEX(ИНФА!$N$5:$N$19,MATCH($C165,ИНФА!$I$5:$I$19,0))+ИНФА!$F$30)),"скидка больше лимита или цена ниже выкупа + 500! ","")&amp;IF($AE165="","",IF(IFERROR(INDEX($B$5:$B$204,MATCH($AE165,$A$5:$A$204,0))=$B165,TRUE()),"бизнес-пара — только со зданием другой компании; ",""))&amp;IF($Q165="","",IF(IFERROR(INDEX(НАУКА!$B$5:$B$44,MATCH($Q165,НАУКА!$A$5:$A$44,0))&lt;&gt;$B165,FALSE()),"патент другой компании — нужна лицензия или соглашение; ","")))</f>
        <v/>
      </c>
      <c r="AD165" s="44"/>
      <c r="AE165" s="44"/>
      <c r="AF165" s="38" t="str">
        <f aca="false">IF($C165="","",IF(AND($W165=1,OR($C165="Дом",$C165="Кафе")),ИНФА!$F$17*(COUNTIFS($B$5:$B165,$B165,$C$5:$C165,$C165,$W$5:$W165,1)&lt;=COUNTIFS($B$5:$B$204,$B165,$C$5:$C$204,"Парк",$W$5:$W$204,1)),0))</f>
        <v/>
      </c>
      <c r="AG165" s="38" t="str">
        <f aca="false">IF($C165="","",IF($W165=1,IF(OR(AND($AE165&lt;&gt;"",IFERROR(INDEX($W$5:$W$204,MATCH($AE165,$A$5:$A$204,0))=1,FALSE()),IFERROR(INDEX($B$5:$B$204,MATCH($AE165,$A$5:$A$204,0))&lt;&gt;$B165,FALSE())),COUNTIFS($AE$5:$AE$204,$A165,$W$5:$W$204,1,$B$5:$B$204,"&lt;&gt;"&amp;$B165)&gt;0),ИНФА!$F$31,0),0))</f>
        <v/>
      </c>
    </row>
    <row r="166" customFormat="false" ht="15" hidden="false" customHeight="false" outlineLevel="0" collapsed="false">
      <c r="A166" s="15" t="n">
        <v>162</v>
      </c>
      <c r="B166" s="44"/>
      <c r="C166" s="44"/>
      <c r="D166" s="44"/>
      <c r="E166" s="44"/>
      <c r="F166" s="43"/>
      <c r="G166" s="38" t="str">
        <f aca="false">IF($C166="","",IF($F166&lt;&gt;"",$F166,INDEX(ИНФА!$M$5:$M$19,MATCH($C166,ИНФА!$I$5:$I$19,0))))</f>
        <v/>
      </c>
      <c r="H166" s="43"/>
      <c r="I166" s="38" t="str">
        <f aca="false">IF($C166="","",G166-N(H166))</f>
        <v/>
      </c>
      <c r="J166" s="37" t="str">
        <f aca="false">IF($C166="","",INDEX(ИНФА!$J$5:$J$19,MATCH($C166,ИНФА!$I$5:$I$19,0)))</f>
        <v/>
      </c>
      <c r="K166" s="37" t="str">
        <f aca="false">IF($C166="","",INDEX(ИНФА!$K$5:$K$19,MATCH($C166,ИНФА!$I$5:$I$19,0)))</f>
        <v/>
      </c>
      <c r="L166" s="38" t="str">
        <f aca="false">IF($C166="","",INDEX(ИНФА!$O$5:$O$19,MATCH($C166,ИНФА!$I$5:$I$19,0)))</f>
        <v/>
      </c>
      <c r="M166" s="38" t="str">
        <f aca="false">IF($C166="","",INDEX(ИНФА!$P$5:$P$19,MATCH($C166,ИНФА!$I$5:$I$19,0)))</f>
        <v/>
      </c>
      <c r="N166" s="44"/>
      <c r="O166" s="48" t="n">
        <f aca="false">IF(OR($C166="",$N166=""),1,IF(AND($J166="Услуги",IFERROR(INDEX($C$5:$C$204,MATCH($N166,$A$5:$A$204,0))=INDEX(ИНФА!$L$5:$L$19,MATCH($C166,ИНФА!$I$5:$I$19,0)),FALSE()),IFERROR(INDEX($W$5:$W$204,MATCH($N166,$A$5:$A$204,0))=1,FALSE()),COUNTIF($N$5:$N166,$N166)&lt;=ИНФА!$F$16),1+ИНФА!$F$15,1))</f>
        <v>1</v>
      </c>
      <c r="P166" s="47" t="str">
        <f aca="false">IF($C166="","",IF($J166&lt;&gt;"Услуги","",IF($N166="","нет поставщика — нужен "&amp;INDEX(ИНФА!$L$5:$L$19,MATCH($C166,ИНФА!$I$5:$I$19,0)),IF($O166&gt;1,"✓ поставка работает (+50%)",IF(IFERROR(INDEX($C$5:$C$204,MATCH($N166,$A$5:$A$204,0))&lt;&gt;INDEX(ИНФА!$L$5:$L$19,MATCH($C166,ИНФА!$I$5:$I$19,0)),TRUE()),"не тот поставщик: нужен "&amp;INDEX(ИНФА!$L$5:$L$19,MATCH($C166,ИНФА!$I$5:$I$19,0)),IF(COUNTIF($N$5:$N166,$N166)&gt;ИНФА!$F$16,"поставщик перегружен","поставщик ещё не работает или продан"))))))</f>
        <v/>
      </c>
      <c r="Q166" s="44"/>
      <c r="R166" s="48" t="str">
        <f aca="false">IF($C166="","",IF($Q166="",1,IFERROR(INDEX(НАУКА!$K$5:$K$44,MATCH($Q166,НАУКА!$A$5:$A$44,0)),1)))</f>
        <v/>
      </c>
      <c r="S166" s="37" t="str">
        <f aca="false">IF($Q166="","",IFERROR(INDEX(НАУКА!$G$5:$G$44,MATCH($Q166,НАУКА!$A$5:$A$44,0)),""))</f>
        <v/>
      </c>
      <c r="T166" s="44"/>
      <c r="U166" s="44"/>
      <c r="V166" s="43"/>
      <c r="W166" s="37" t="n">
        <f aca="false">IF(OR($C166="",$D166=""),0,IF(AND($D166&lt;ИНФА!$F$5,OR($T166="",$T166&gt;=ИНФА!$F$5)),1,0))</f>
        <v>0</v>
      </c>
      <c r="X166" s="46" t="str">
        <f aca="false">IF($C166="","",INDEX(СОБЫТИЯ!$B$5:$K$8,MATCH($K166,СОБЫТИЯ!$A$5:$A$8,0),ИНФА!$F$5))</f>
        <v/>
      </c>
      <c r="Y166" s="42" t="str">
        <f aca="false">IF($C166="","",IF($W166=1,ROUND($L166*$O166*IF(AND($Q166&lt;&gt;"",$S166&lt;&gt;""),IF($S166&lt;ИНФА!$F$5,$R166,1),1)*$X166,0)-$M166+N($AF166)+N($AG166),0))</f>
        <v/>
      </c>
      <c r="Z166" s="38" t="str">
        <f aca="false">IF($C166="","",IF($T166="",INDEX(ИНФА!$M$5:$M$19,MATCH($C166,ИНФА!$I$5:$I$19,0)),0))</f>
        <v/>
      </c>
      <c r="AA166" s="38" t="str">
        <f aca="false">IF(OR($C166="",$T166=""),"",IF($V166&lt;&gt;"",$V166,INDEX(ИНФА!$N$5:$N$19,MATCH($C166,ИНФА!$I$5:$I$19,0))))</f>
        <v/>
      </c>
      <c r="AB166" s="37" t="str">
        <f aca="false">IF($C166="","",IF($T166&lt;&gt;"",IF($U166&lt;&gt;"","продано компании "&amp;$U166&amp;" в цикле "&amp;$T166,"продано Инфраструктуре в цикле "&amp;$T166),IF($D166&gt;=ИНФА!$F$5,"доход со следующего цикла","приносит доход")))</f>
        <v/>
      </c>
      <c r="AC166" s="47" t="str">
        <f aca="false">IF($C166="","",IF($F166="","",IF($E166="","укажите продавца; ",IF(OR($F166&lt;INDEX(ИНФА!$N$5:$N$19,MATCH($C166,ИНФА!$I$5:$I$19,0)),$F166&gt;INDEX(ИНФА!$M$5:$M$19,MATCH($C166,ИНФА!$I$5:$I$19,0))),"цена покупки вне коридора! ","")))&amp;IF($U166="","",IF(OR($V166="",$T166=""),"укажите цикл и цену продажи; ",IF(OR($V166&lt;INDEX(ИНФА!$N$5:$N$19,MATCH($C166,ИНФА!$I$5:$I$19,0)),$V166&gt;INDEX(ИНФА!$M$5:$M$19,MATCH($C166,ИНФА!$I$5:$I$19,0))),"цена продажи вне коридора! ","")))&amp;IF(AND($T166="",COUNTIFS($C$5:$C166,$C166,$T$5:$T166,"")&gt;INDEX(ИНФА!$Q$5:$Q$19,MATCH($C166,ИНФА!$I$5:$I$19,0))),"лотов нет! ","")&amp;IF(AND($E166&lt;&gt;"",$F166=""),"укажите цену сделки; ","")&amp;IF(AND(N($H166)&gt;0,OR($AD166="",$AD166="Профессия"),OR($H166&gt;ИНФА!$F$29,$I166&lt;INDEX(ИНФА!$N$5:$N$19,MATCH($C166,ИНФА!$I$5:$I$19,0))+ИНФА!$F$30)),"скидка больше лимита или цена ниже выкупа + 500! ","")&amp;IF($AE166="","",IF(IFERROR(INDEX($B$5:$B$204,MATCH($AE166,$A$5:$A$204,0))=$B166,TRUE()),"бизнес-пара — только со зданием другой компании; ",""))&amp;IF($Q166="","",IF(IFERROR(INDEX(НАУКА!$B$5:$B$44,MATCH($Q166,НАУКА!$A$5:$A$44,0))&lt;&gt;$B166,FALSE()),"патент другой компании — нужна лицензия или соглашение; ","")))</f>
        <v/>
      </c>
      <c r="AD166" s="44"/>
      <c r="AE166" s="44"/>
      <c r="AF166" s="38" t="str">
        <f aca="false">IF($C166="","",IF(AND($W166=1,OR($C166="Дом",$C166="Кафе")),ИНФА!$F$17*(COUNTIFS($B$5:$B166,$B166,$C$5:$C166,$C166,$W$5:$W166,1)&lt;=COUNTIFS($B$5:$B$204,$B166,$C$5:$C$204,"Парк",$W$5:$W$204,1)),0))</f>
        <v/>
      </c>
      <c r="AG166" s="38" t="str">
        <f aca="false">IF($C166="","",IF($W166=1,IF(OR(AND($AE166&lt;&gt;"",IFERROR(INDEX($W$5:$W$204,MATCH($AE166,$A$5:$A$204,0))=1,FALSE()),IFERROR(INDEX($B$5:$B$204,MATCH($AE166,$A$5:$A$204,0))&lt;&gt;$B166,FALSE())),COUNTIFS($AE$5:$AE$204,$A166,$W$5:$W$204,1,$B$5:$B$204,"&lt;&gt;"&amp;$B166)&gt;0),ИНФА!$F$31,0),0))</f>
        <v/>
      </c>
    </row>
    <row r="167" customFormat="false" ht="15" hidden="false" customHeight="false" outlineLevel="0" collapsed="false">
      <c r="A167" s="15" t="n">
        <v>163</v>
      </c>
      <c r="B167" s="44"/>
      <c r="C167" s="44"/>
      <c r="D167" s="44"/>
      <c r="E167" s="44"/>
      <c r="F167" s="43"/>
      <c r="G167" s="38" t="str">
        <f aca="false">IF($C167="","",IF($F167&lt;&gt;"",$F167,INDEX(ИНФА!$M$5:$M$19,MATCH($C167,ИНФА!$I$5:$I$19,0))))</f>
        <v/>
      </c>
      <c r="H167" s="43"/>
      <c r="I167" s="38" t="str">
        <f aca="false">IF($C167="","",G167-N(H167))</f>
        <v/>
      </c>
      <c r="J167" s="37" t="str">
        <f aca="false">IF($C167="","",INDEX(ИНФА!$J$5:$J$19,MATCH($C167,ИНФА!$I$5:$I$19,0)))</f>
        <v/>
      </c>
      <c r="K167" s="37" t="str">
        <f aca="false">IF($C167="","",INDEX(ИНФА!$K$5:$K$19,MATCH($C167,ИНФА!$I$5:$I$19,0)))</f>
        <v/>
      </c>
      <c r="L167" s="38" t="str">
        <f aca="false">IF($C167="","",INDEX(ИНФА!$O$5:$O$19,MATCH($C167,ИНФА!$I$5:$I$19,0)))</f>
        <v/>
      </c>
      <c r="M167" s="38" t="str">
        <f aca="false">IF($C167="","",INDEX(ИНФА!$P$5:$P$19,MATCH($C167,ИНФА!$I$5:$I$19,0)))</f>
        <v/>
      </c>
      <c r="N167" s="44"/>
      <c r="O167" s="48" t="n">
        <f aca="false">IF(OR($C167="",$N167=""),1,IF(AND($J167="Услуги",IFERROR(INDEX($C$5:$C$204,MATCH($N167,$A$5:$A$204,0))=INDEX(ИНФА!$L$5:$L$19,MATCH($C167,ИНФА!$I$5:$I$19,0)),FALSE()),IFERROR(INDEX($W$5:$W$204,MATCH($N167,$A$5:$A$204,0))=1,FALSE()),COUNTIF($N$5:$N167,$N167)&lt;=ИНФА!$F$16),1+ИНФА!$F$15,1))</f>
        <v>1</v>
      </c>
      <c r="P167" s="47" t="str">
        <f aca="false">IF($C167="","",IF($J167&lt;&gt;"Услуги","",IF($N167="","нет поставщика — нужен "&amp;INDEX(ИНФА!$L$5:$L$19,MATCH($C167,ИНФА!$I$5:$I$19,0)),IF($O167&gt;1,"✓ поставка работает (+50%)",IF(IFERROR(INDEX($C$5:$C$204,MATCH($N167,$A$5:$A$204,0))&lt;&gt;INDEX(ИНФА!$L$5:$L$19,MATCH($C167,ИНФА!$I$5:$I$19,0)),TRUE()),"не тот поставщик: нужен "&amp;INDEX(ИНФА!$L$5:$L$19,MATCH($C167,ИНФА!$I$5:$I$19,0)),IF(COUNTIF($N$5:$N167,$N167)&gt;ИНФА!$F$16,"поставщик перегружен","поставщик ещё не работает или продан"))))))</f>
        <v/>
      </c>
      <c r="Q167" s="44"/>
      <c r="R167" s="48" t="str">
        <f aca="false">IF($C167="","",IF($Q167="",1,IFERROR(INDEX(НАУКА!$K$5:$K$44,MATCH($Q167,НАУКА!$A$5:$A$44,0)),1)))</f>
        <v/>
      </c>
      <c r="S167" s="37" t="str">
        <f aca="false">IF($Q167="","",IFERROR(INDEX(НАУКА!$G$5:$G$44,MATCH($Q167,НАУКА!$A$5:$A$44,0)),""))</f>
        <v/>
      </c>
      <c r="T167" s="44"/>
      <c r="U167" s="44"/>
      <c r="V167" s="43"/>
      <c r="W167" s="37" t="n">
        <f aca="false">IF(OR($C167="",$D167=""),0,IF(AND($D167&lt;ИНФА!$F$5,OR($T167="",$T167&gt;=ИНФА!$F$5)),1,0))</f>
        <v>0</v>
      </c>
      <c r="X167" s="46" t="str">
        <f aca="false">IF($C167="","",INDEX(СОБЫТИЯ!$B$5:$K$8,MATCH($K167,СОБЫТИЯ!$A$5:$A$8,0),ИНФА!$F$5))</f>
        <v/>
      </c>
      <c r="Y167" s="42" t="str">
        <f aca="false">IF($C167="","",IF($W167=1,ROUND($L167*$O167*IF(AND($Q167&lt;&gt;"",$S167&lt;&gt;""),IF($S167&lt;ИНФА!$F$5,$R167,1),1)*$X167,0)-$M167+N($AF167)+N($AG167),0))</f>
        <v/>
      </c>
      <c r="Z167" s="38" t="str">
        <f aca="false">IF($C167="","",IF($T167="",INDEX(ИНФА!$M$5:$M$19,MATCH($C167,ИНФА!$I$5:$I$19,0)),0))</f>
        <v/>
      </c>
      <c r="AA167" s="38" t="str">
        <f aca="false">IF(OR($C167="",$T167=""),"",IF($V167&lt;&gt;"",$V167,INDEX(ИНФА!$N$5:$N$19,MATCH($C167,ИНФА!$I$5:$I$19,0))))</f>
        <v/>
      </c>
      <c r="AB167" s="37" t="str">
        <f aca="false">IF($C167="","",IF($T167&lt;&gt;"",IF($U167&lt;&gt;"","продано компании "&amp;$U167&amp;" в цикле "&amp;$T167,"продано Инфраструктуре в цикле "&amp;$T167),IF($D167&gt;=ИНФА!$F$5,"доход со следующего цикла","приносит доход")))</f>
        <v/>
      </c>
      <c r="AC167" s="47" t="str">
        <f aca="false">IF($C167="","",IF($F167="","",IF($E167="","укажите продавца; ",IF(OR($F167&lt;INDEX(ИНФА!$N$5:$N$19,MATCH($C167,ИНФА!$I$5:$I$19,0)),$F167&gt;INDEX(ИНФА!$M$5:$M$19,MATCH($C167,ИНФА!$I$5:$I$19,0))),"цена покупки вне коридора! ","")))&amp;IF($U167="","",IF(OR($V167="",$T167=""),"укажите цикл и цену продажи; ",IF(OR($V167&lt;INDEX(ИНФА!$N$5:$N$19,MATCH($C167,ИНФА!$I$5:$I$19,0)),$V167&gt;INDEX(ИНФА!$M$5:$M$19,MATCH($C167,ИНФА!$I$5:$I$19,0))),"цена продажи вне коридора! ","")))&amp;IF(AND($T167="",COUNTIFS($C$5:$C167,$C167,$T$5:$T167,"")&gt;INDEX(ИНФА!$Q$5:$Q$19,MATCH($C167,ИНФА!$I$5:$I$19,0))),"лотов нет! ","")&amp;IF(AND($E167&lt;&gt;"",$F167=""),"укажите цену сделки; ","")&amp;IF(AND(N($H167)&gt;0,OR($AD167="",$AD167="Профессия"),OR($H167&gt;ИНФА!$F$29,$I167&lt;INDEX(ИНФА!$N$5:$N$19,MATCH($C167,ИНФА!$I$5:$I$19,0))+ИНФА!$F$30)),"скидка больше лимита или цена ниже выкупа + 500! ","")&amp;IF($AE167="","",IF(IFERROR(INDEX($B$5:$B$204,MATCH($AE167,$A$5:$A$204,0))=$B167,TRUE()),"бизнес-пара — только со зданием другой компании; ",""))&amp;IF($Q167="","",IF(IFERROR(INDEX(НАУКА!$B$5:$B$44,MATCH($Q167,НАУКА!$A$5:$A$44,0))&lt;&gt;$B167,FALSE()),"патент другой компании — нужна лицензия или соглашение; ","")))</f>
        <v/>
      </c>
      <c r="AD167" s="44"/>
      <c r="AE167" s="44"/>
      <c r="AF167" s="38" t="str">
        <f aca="false">IF($C167="","",IF(AND($W167=1,OR($C167="Дом",$C167="Кафе")),ИНФА!$F$17*(COUNTIFS($B$5:$B167,$B167,$C$5:$C167,$C167,$W$5:$W167,1)&lt;=COUNTIFS($B$5:$B$204,$B167,$C$5:$C$204,"Парк",$W$5:$W$204,1)),0))</f>
        <v/>
      </c>
      <c r="AG167" s="38" t="str">
        <f aca="false">IF($C167="","",IF($W167=1,IF(OR(AND($AE167&lt;&gt;"",IFERROR(INDEX($W$5:$W$204,MATCH($AE167,$A$5:$A$204,0))=1,FALSE()),IFERROR(INDEX($B$5:$B$204,MATCH($AE167,$A$5:$A$204,0))&lt;&gt;$B167,FALSE())),COUNTIFS($AE$5:$AE$204,$A167,$W$5:$W$204,1,$B$5:$B$204,"&lt;&gt;"&amp;$B167)&gt;0),ИНФА!$F$31,0),0))</f>
        <v/>
      </c>
    </row>
    <row r="168" customFormat="false" ht="15" hidden="false" customHeight="false" outlineLevel="0" collapsed="false">
      <c r="A168" s="15" t="n">
        <v>164</v>
      </c>
      <c r="B168" s="44"/>
      <c r="C168" s="44"/>
      <c r="D168" s="44"/>
      <c r="E168" s="44"/>
      <c r="F168" s="43"/>
      <c r="G168" s="38" t="str">
        <f aca="false">IF($C168="","",IF($F168&lt;&gt;"",$F168,INDEX(ИНФА!$M$5:$M$19,MATCH($C168,ИНФА!$I$5:$I$19,0))))</f>
        <v/>
      </c>
      <c r="H168" s="43"/>
      <c r="I168" s="38" t="str">
        <f aca="false">IF($C168="","",G168-N(H168))</f>
        <v/>
      </c>
      <c r="J168" s="37" t="str">
        <f aca="false">IF($C168="","",INDEX(ИНФА!$J$5:$J$19,MATCH($C168,ИНФА!$I$5:$I$19,0)))</f>
        <v/>
      </c>
      <c r="K168" s="37" t="str">
        <f aca="false">IF($C168="","",INDEX(ИНФА!$K$5:$K$19,MATCH($C168,ИНФА!$I$5:$I$19,0)))</f>
        <v/>
      </c>
      <c r="L168" s="38" t="str">
        <f aca="false">IF($C168="","",INDEX(ИНФА!$O$5:$O$19,MATCH($C168,ИНФА!$I$5:$I$19,0)))</f>
        <v/>
      </c>
      <c r="M168" s="38" t="str">
        <f aca="false">IF($C168="","",INDEX(ИНФА!$P$5:$P$19,MATCH($C168,ИНФА!$I$5:$I$19,0)))</f>
        <v/>
      </c>
      <c r="N168" s="44"/>
      <c r="O168" s="48" t="n">
        <f aca="false">IF(OR($C168="",$N168=""),1,IF(AND($J168="Услуги",IFERROR(INDEX($C$5:$C$204,MATCH($N168,$A$5:$A$204,0))=INDEX(ИНФА!$L$5:$L$19,MATCH($C168,ИНФА!$I$5:$I$19,0)),FALSE()),IFERROR(INDEX($W$5:$W$204,MATCH($N168,$A$5:$A$204,0))=1,FALSE()),COUNTIF($N$5:$N168,$N168)&lt;=ИНФА!$F$16),1+ИНФА!$F$15,1))</f>
        <v>1</v>
      </c>
      <c r="P168" s="47" t="str">
        <f aca="false">IF($C168="","",IF($J168&lt;&gt;"Услуги","",IF($N168="","нет поставщика — нужен "&amp;INDEX(ИНФА!$L$5:$L$19,MATCH($C168,ИНФА!$I$5:$I$19,0)),IF($O168&gt;1,"✓ поставка работает (+50%)",IF(IFERROR(INDEX($C$5:$C$204,MATCH($N168,$A$5:$A$204,0))&lt;&gt;INDEX(ИНФА!$L$5:$L$19,MATCH($C168,ИНФА!$I$5:$I$19,0)),TRUE()),"не тот поставщик: нужен "&amp;INDEX(ИНФА!$L$5:$L$19,MATCH($C168,ИНФА!$I$5:$I$19,0)),IF(COUNTIF($N$5:$N168,$N168)&gt;ИНФА!$F$16,"поставщик перегружен","поставщик ещё не работает или продан"))))))</f>
        <v/>
      </c>
      <c r="Q168" s="44"/>
      <c r="R168" s="48" t="str">
        <f aca="false">IF($C168="","",IF($Q168="",1,IFERROR(INDEX(НАУКА!$K$5:$K$44,MATCH($Q168,НАУКА!$A$5:$A$44,0)),1)))</f>
        <v/>
      </c>
      <c r="S168" s="37" t="str">
        <f aca="false">IF($Q168="","",IFERROR(INDEX(НАУКА!$G$5:$G$44,MATCH($Q168,НАУКА!$A$5:$A$44,0)),""))</f>
        <v/>
      </c>
      <c r="T168" s="44"/>
      <c r="U168" s="44"/>
      <c r="V168" s="43"/>
      <c r="W168" s="37" t="n">
        <f aca="false">IF(OR($C168="",$D168=""),0,IF(AND($D168&lt;ИНФА!$F$5,OR($T168="",$T168&gt;=ИНФА!$F$5)),1,0))</f>
        <v>0</v>
      </c>
      <c r="X168" s="46" t="str">
        <f aca="false">IF($C168="","",INDEX(СОБЫТИЯ!$B$5:$K$8,MATCH($K168,СОБЫТИЯ!$A$5:$A$8,0),ИНФА!$F$5))</f>
        <v/>
      </c>
      <c r="Y168" s="42" t="str">
        <f aca="false">IF($C168="","",IF($W168=1,ROUND($L168*$O168*IF(AND($Q168&lt;&gt;"",$S168&lt;&gt;""),IF($S168&lt;ИНФА!$F$5,$R168,1),1)*$X168,0)-$M168+N($AF168)+N($AG168),0))</f>
        <v/>
      </c>
      <c r="Z168" s="38" t="str">
        <f aca="false">IF($C168="","",IF($T168="",INDEX(ИНФА!$M$5:$M$19,MATCH($C168,ИНФА!$I$5:$I$19,0)),0))</f>
        <v/>
      </c>
      <c r="AA168" s="38" t="str">
        <f aca="false">IF(OR($C168="",$T168=""),"",IF($V168&lt;&gt;"",$V168,INDEX(ИНФА!$N$5:$N$19,MATCH($C168,ИНФА!$I$5:$I$19,0))))</f>
        <v/>
      </c>
      <c r="AB168" s="37" t="str">
        <f aca="false">IF($C168="","",IF($T168&lt;&gt;"",IF($U168&lt;&gt;"","продано компании "&amp;$U168&amp;" в цикле "&amp;$T168,"продано Инфраструктуре в цикле "&amp;$T168),IF($D168&gt;=ИНФА!$F$5,"доход со следующего цикла","приносит доход")))</f>
        <v/>
      </c>
      <c r="AC168" s="47" t="str">
        <f aca="false">IF($C168="","",IF($F168="","",IF($E168="","укажите продавца; ",IF(OR($F168&lt;INDEX(ИНФА!$N$5:$N$19,MATCH($C168,ИНФА!$I$5:$I$19,0)),$F168&gt;INDEX(ИНФА!$M$5:$M$19,MATCH($C168,ИНФА!$I$5:$I$19,0))),"цена покупки вне коридора! ","")))&amp;IF($U168="","",IF(OR($V168="",$T168=""),"укажите цикл и цену продажи; ",IF(OR($V168&lt;INDEX(ИНФА!$N$5:$N$19,MATCH($C168,ИНФА!$I$5:$I$19,0)),$V168&gt;INDEX(ИНФА!$M$5:$M$19,MATCH($C168,ИНФА!$I$5:$I$19,0))),"цена продажи вне коридора! ","")))&amp;IF(AND($T168="",COUNTIFS($C$5:$C168,$C168,$T$5:$T168,"")&gt;INDEX(ИНФА!$Q$5:$Q$19,MATCH($C168,ИНФА!$I$5:$I$19,0))),"лотов нет! ","")&amp;IF(AND($E168&lt;&gt;"",$F168=""),"укажите цену сделки; ","")&amp;IF(AND(N($H168)&gt;0,OR($AD168="",$AD168="Профессия"),OR($H168&gt;ИНФА!$F$29,$I168&lt;INDEX(ИНФА!$N$5:$N$19,MATCH($C168,ИНФА!$I$5:$I$19,0))+ИНФА!$F$30)),"скидка больше лимита или цена ниже выкупа + 500! ","")&amp;IF($AE168="","",IF(IFERROR(INDEX($B$5:$B$204,MATCH($AE168,$A$5:$A$204,0))=$B168,TRUE()),"бизнес-пара — только со зданием другой компании; ",""))&amp;IF($Q168="","",IF(IFERROR(INDEX(НАУКА!$B$5:$B$44,MATCH($Q168,НАУКА!$A$5:$A$44,0))&lt;&gt;$B168,FALSE()),"патент другой компании — нужна лицензия или соглашение; ","")))</f>
        <v/>
      </c>
      <c r="AD168" s="44"/>
      <c r="AE168" s="44"/>
      <c r="AF168" s="38" t="str">
        <f aca="false">IF($C168="","",IF(AND($W168=1,OR($C168="Дом",$C168="Кафе")),ИНФА!$F$17*(COUNTIFS($B$5:$B168,$B168,$C$5:$C168,$C168,$W$5:$W168,1)&lt;=COUNTIFS($B$5:$B$204,$B168,$C$5:$C$204,"Парк",$W$5:$W$204,1)),0))</f>
        <v/>
      </c>
      <c r="AG168" s="38" t="str">
        <f aca="false">IF($C168="","",IF($W168=1,IF(OR(AND($AE168&lt;&gt;"",IFERROR(INDEX($W$5:$W$204,MATCH($AE168,$A$5:$A$204,0))=1,FALSE()),IFERROR(INDEX($B$5:$B$204,MATCH($AE168,$A$5:$A$204,0))&lt;&gt;$B168,FALSE())),COUNTIFS($AE$5:$AE$204,$A168,$W$5:$W$204,1,$B$5:$B$204,"&lt;&gt;"&amp;$B168)&gt;0),ИНФА!$F$31,0),0))</f>
        <v/>
      </c>
    </row>
    <row r="169" customFormat="false" ht="15" hidden="false" customHeight="false" outlineLevel="0" collapsed="false">
      <c r="A169" s="15" t="n">
        <v>165</v>
      </c>
      <c r="B169" s="44"/>
      <c r="C169" s="44"/>
      <c r="D169" s="44"/>
      <c r="E169" s="44"/>
      <c r="F169" s="43"/>
      <c r="G169" s="38" t="str">
        <f aca="false">IF($C169="","",IF($F169&lt;&gt;"",$F169,INDEX(ИНФА!$M$5:$M$19,MATCH($C169,ИНФА!$I$5:$I$19,0))))</f>
        <v/>
      </c>
      <c r="H169" s="43"/>
      <c r="I169" s="38" t="str">
        <f aca="false">IF($C169="","",G169-N(H169))</f>
        <v/>
      </c>
      <c r="J169" s="37" t="str">
        <f aca="false">IF($C169="","",INDEX(ИНФА!$J$5:$J$19,MATCH($C169,ИНФА!$I$5:$I$19,0)))</f>
        <v/>
      </c>
      <c r="K169" s="37" t="str">
        <f aca="false">IF($C169="","",INDEX(ИНФА!$K$5:$K$19,MATCH($C169,ИНФА!$I$5:$I$19,0)))</f>
        <v/>
      </c>
      <c r="L169" s="38" t="str">
        <f aca="false">IF($C169="","",INDEX(ИНФА!$O$5:$O$19,MATCH($C169,ИНФА!$I$5:$I$19,0)))</f>
        <v/>
      </c>
      <c r="M169" s="38" t="str">
        <f aca="false">IF($C169="","",INDEX(ИНФА!$P$5:$P$19,MATCH($C169,ИНФА!$I$5:$I$19,0)))</f>
        <v/>
      </c>
      <c r="N169" s="44"/>
      <c r="O169" s="48" t="n">
        <f aca="false">IF(OR($C169="",$N169=""),1,IF(AND($J169="Услуги",IFERROR(INDEX($C$5:$C$204,MATCH($N169,$A$5:$A$204,0))=INDEX(ИНФА!$L$5:$L$19,MATCH($C169,ИНФА!$I$5:$I$19,0)),FALSE()),IFERROR(INDEX($W$5:$W$204,MATCH($N169,$A$5:$A$204,0))=1,FALSE()),COUNTIF($N$5:$N169,$N169)&lt;=ИНФА!$F$16),1+ИНФА!$F$15,1))</f>
        <v>1</v>
      </c>
      <c r="P169" s="47" t="str">
        <f aca="false">IF($C169="","",IF($J169&lt;&gt;"Услуги","",IF($N169="","нет поставщика — нужен "&amp;INDEX(ИНФА!$L$5:$L$19,MATCH($C169,ИНФА!$I$5:$I$19,0)),IF($O169&gt;1,"✓ поставка работает (+50%)",IF(IFERROR(INDEX($C$5:$C$204,MATCH($N169,$A$5:$A$204,0))&lt;&gt;INDEX(ИНФА!$L$5:$L$19,MATCH($C169,ИНФА!$I$5:$I$19,0)),TRUE()),"не тот поставщик: нужен "&amp;INDEX(ИНФА!$L$5:$L$19,MATCH($C169,ИНФА!$I$5:$I$19,0)),IF(COUNTIF($N$5:$N169,$N169)&gt;ИНФА!$F$16,"поставщик перегружен","поставщик ещё не работает или продан"))))))</f>
        <v/>
      </c>
      <c r="Q169" s="44"/>
      <c r="R169" s="48" t="str">
        <f aca="false">IF($C169="","",IF($Q169="",1,IFERROR(INDEX(НАУКА!$K$5:$K$44,MATCH($Q169,НАУКА!$A$5:$A$44,0)),1)))</f>
        <v/>
      </c>
      <c r="S169" s="37" t="str">
        <f aca="false">IF($Q169="","",IFERROR(INDEX(НАУКА!$G$5:$G$44,MATCH($Q169,НАУКА!$A$5:$A$44,0)),""))</f>
        <v/>
      </c>
      <c r="T169" s="44"/>
      <c r="U169" s="44"/>
      <c r="V169" s="43"/>
      <c r="W169" s="37" t="n">
        <f aca="false">IF(OR($C169="",$D169=""),0,IF(AND($D169&lt;ИНФА!$F$5,OR($T169="",$T169&gt;=ИНФА!$F$5)),1,0))</f>
        <v>0</v>
      </c>
      <c r="X169" s="46" t="str">
        <f aca="false">IF($C169="","",INDEX(СОБЫТИЯ!$B$5:$K$8,MATCH($K169,СОБЫТИЯ!$A$5:$A$8,0),ИНФА!$F$5))</f>
        <v/>
      </c>
      <c r="Y169" s="42" t="str">
        <f aca="false">IF($C169="","",IF($W169=1,ROUND($L169*$O169*IF(AND($Q169&lt;&gt;"",$S169&lt;&gt;""),IF($S169&lt;ИНФА!$F$5,$R169,1),1)*$X169,0)-$M169+N($AF169)+N($AG169),0))</f>
        <v/>
      </c>
      <c r="Z169" s="38" t="str">
        <f aca="false">IF($C169="","",IF($T169="",INDEX(ИНФА!$M$5:$M$19,MATCH($C169,ИНФА!$I$5:$I$19,0)),0))</f>
        <v/>
      </c>
      <c r="AA169" s="38" t="str">
        <f aca="false">IF(OR($C169="",$T169=""),"",IF($V169&lt;&gt;"",$V169,INDEX(ИНФА!$N$5:$N$19,MATCH($C169,ИНФА!$I$5:$I$19,0))))</f>
        <v/>
      </c>
      <c r="AB169" s="37" t="str">
        <f aca="false">IF($C169="","",IF($T169&lt;&gt;"",IF($U169&lt;&gt;"","продано компании "&amp;$U169&amp;" в цикле "&amp;$T169,"продано Инфраструктуре в цикле "&amp;$T169),IF($D169&gt;=ИНФА!$F$5,"доход со следующего цикла","приносит доход")))</f>
        <v/>
      </c>
      <c r="AC169" s="47" t="str">
        <f aca="false">IF($C169="","",IF($F169="","",IF($E169="","укажите продавца; ",IF(OR($F169&lt;INDEX(ИНФА!$N$5:$N$19,MATCH($C169,ИНФА!$I$5:$I$19,0)),$F169&gt;INDEX(ИНФА!$M$5:$M$19,MATCH($C169,ИНФА!$I$5:$I$19,0))),"цена покупки вне коридора! ","")))&amp;IF($U169="","",IF(OR($V169="",$T169=""),"укажите цикл и цену продажи; ",IF(OR($V169&lt;INDEX(ИНФА!$N$5:$N$19,MATCH($C169,ИНФА!$I$5:$I$19,0)),$V169&gt;INDEX(ИНФА!$M$5:$M$19,MATCH($C169,ИНФА!$I$5:$I$19,0))),"цена продажи вне коридора! ","")))&amp;IF(AND($T169="",COUNTIFS($C$5:$C169,$C169,$T$5:$T169,"")&gt;INDEX(ИНФА!$Q$5:$Q$19,MATCH($C169,ИНФА!$I$5:$I$19,0))),"лотов нет! ","")&amp;IF(AND($E169&lt;&gt;"",$F169=""),"укажите цену сделки; ","")&amp;IF(AND(N($H169)&gt;0,OR($AD169="",$AD169="Профессия"),OR($H169&gt;ИНФА!$F$29,$I169&lt;INDEX(ИНФА!$N$5:$N$19,MATCH($C169,ИНФА!$I$5:$I$19,0))+ИНФА!$F$30)),"скидка больше лимита или цена ниже выкупа + 500! ","")&amp;IF($AE169="","",IF(IFERROR(INDEX($B$5:$B$204,MATCH($AE169,$A$5:$A$204,0))=$B169,TRUE()),"бизнес-пара — только со зданием другой компании; ",""))&amp;IF($Q169="","",IF(IFERROR(INDEX(НАУКА!$B$5:$B$44,MATCH($Q169,НАУКА!$A$5:$A$44,0))&lt;&gt;$B169,FALSE()),"патент другой компании — нужна лицензия или соглашение; ","")))</f>
        <v/>
      </c>
      <c r="AD169" s="44"/>
      <c r="AE169" s="44"/>
      <c r="AF169" s="38" t="str">
        <f aca="false">IF($C169="","",IF(AND($W169=1,OR($C169="Дом",$C169="Кафе")),ИНФА!$F$17*(COUNTIFS($B$5:$B169,$B169,$C$5:$C169,$C169,$W$5:$W169,1)&lt;=COUNTIFS($B$5:$B$204,$B169,$C$5:$C$204,"Парк",$W$5:$W$204,1)),0))</f>
        <v/>
      </c>
      <c r="AG169" s="38" t="str">
        <f aca="false">IF($C169="","",IF($W169=1,IF(OR(AND($AE169&lt;&gt;"",IFERROR(INDEX($W$5:$W$204,MATCH($AE169,$A$5:$A$204,0))=1,FALSE()),IFERROR(INDEX($B$5:$B$204,MATCH($AE169,$A$5:$A$204,0))&lt;&gt;$B169,FALSE())),COUNTIFS($AE$5:$AE$204,$A169,$W$5:$W$204,1,$B$5:$B$204,"&lt;&gt;"&amp;$B169)&gt;0),ИНФА!$F$31,0),0))</f>
        <v/>
      </c>
    </row>
    <row r="170" customFormat="false" ht="15" hidden="false" customHeight="false" outlineLevel="0" collapsed="false">
      <c r="A170" s="15" t="n">
        <v>166</v>
      </c>
      <c r="B170" s="44"/>
      <c r="C170" s="44"/>
      <c r="D170" s="44"/>
      <c r="E170" s="44"/>
      <c r="F170" s="43"/>
      <c r="G170" s="38" t="str">
        <f aca="false">IF($C170="","",IF($F170&lt;&gt;"",$F170,INDEX(ИНФА!$M$5:$M$19,MATCH($C170,ИНФА!$I$5:$I$19,0))))</f>
        <v/>
      </c>
      <c r="H170" s="43"/>
      <c r="I170" s="38" t="str">
        <f aca="false">IF($C170="","",G170-N(H170))</f>
        <v/>
      </c>
      <c r="J170" s="37" t="str">
        <f aca="false">IF($C170="","",INDEX(ИНФА!$J$5:$J$19,MATCH($C170,ИНФА!$I$5:$I$19,0)))</f>
        <v/>
      </c>
      <c r="K170" s="37" t="str">
        <f aca="false">IF($C170="","",INDEX(ИНФА!$K$5:$K$19,MATCH($C170,ИНФА!$I$5:$I$19,0)))</f>
        <v/>
      </c>
      <c r="L170" s="38" t="str">
        <f aca="false">IF($C170="","",INDEX(ИНФА!$O$5:$O$19,MATCH($C170,ИНФА!$I$5:$I$19,0)))</f>
        <v/>
      </c>
      <c r="M170" s="38" t="str">
        <f aca="false">IF($C170="","",INDEX(ИНФА!$P$5:$P$19,MATCH($C170,ИНФА!$I$5:$I$19,0)))</f>
        <v/>
      </c>
      <c r="N170" s="44"/>
      <c r="O170" s="48" t="n">
        <f aca="false">IF(OR($C170="",$N170=""),1,IF(AND($J170="Услуги",IFERROR(INDEX($C$5:$C$204,MATCH($N170,$A$5:$A$204,0))=INDEX(ИНФА!$L$5:$L$19,MATCH($C170,ИНФА!$I$5:$I$19,0)),FALSE()),IFERROR(INDEX($W$5:$W$204,MATCH($N170,$A$5:$A$204,0))=1,FALSE()),COUNTIF($N$5:$N170,$N170)&lt;=ИНФА!$F$16),1+ИНФА!$F$15,1))</f>
        <v>1</v>
      </c>
      <c r="P170" s="47" t="str">
        <f aca="false">IF($C170="","",IF($J170&lt;&gt;"Услуги","",IF($N170="","нет поставщика — нужен "&amp;INDEX(ИНФА!$L$5:$L$19,MATCH($C170,ИНФА!$I$5:$I$19,0)),IF($O170&gt;1,"✓ поставка работает (+50%)",IF(IFERROR(INDEX($C$5:$C$204,MATCH($N170,$A$5:$A$204,0))&lt;&gt;INDEX(ИНФА!$L$5:$L$19,MATCH($C170,ИНФА!$I$5:$I$19,0)),TRUE()),"не тот поставщик: нужен "&amp;INDEX(ИНФА!$L$5:$L$19,MATCH($C170,ИНФА!$I$5:$I$19,0)),IF(COUNTIF($N$5:$N170,$N170)&gt;ИНФА!$F$16,"поставщик перегружен","поставщик ещё не работает или продан"))))))</f>
        <v/>
      </c>
      <c r="Q170" s="44"/>
      <c r="R170" s="48" t="str">
        <f aca="false">IF($C170="","",IF($Q170="",1,IFERROR(INDEX(НАУКА!$K$5:$K$44,MATCH($Q170,НАУКА!$A$5:$A$44,0)),1)))</f>
        <v/>
      </c>
      <c r="S170" s="37" t="str">
        <f aca="false">IF($Q170="","",IFERROR(INDEX(НАУКА!$G$5:$G$44,MATCH($Q170,НАУКА!$A$5:$A$44,0)),""))</f>
        <v/>
      </c>
      <c r="T170" s="44"/>
      <c r="U170" s="44"/>
      <c r="V170" s="43"/>
      <c r="W170" s="37" t="n">
        <f aca="false">IF(OR($C170="",$D170=""),0,IF(AND($D170&lt;ИНФА!$F$5,OR($T170="",$T170&gt;=ИНФА!$F$5)),1,0))</f>
        <v>0</v>
      </c>
      <c r="X170" s="46" t="str">
        <f aca="false">IF($C170="","",INDEX(СОБЫТИЯ!$B$5:$K$8,MATCH($K170,СОБЫТИЯ!$A$5:$A$8,0),ИНФА!$F$5))</f>
        <v/>
      </c>
      <c r="Y170" s="42" t="str">
        <f aca="false">IF($C170="","",IF($W170=1,ROUND($L170*$O170*IF(AND($Q170&lt;&gt;"",$S170&lt;&gt;""),IF($S170&lt;ИНФА!$F$5,$R170,1),1)*$X170,0)-$M170+N($AF170)+N($AG170),0))</f>
        <v/>
      </c>
      <c r="Z170" s="38" t="str">
        <f aca="false">IF($C170="","",IF($T170="",INDEX(ИНФА!$M$5:$M$19,MATCH($C170,ИНФА!$I$5:$I$19,0)),0))</f>
        <v/>
      </c>
      <c r="AA170" s="38" t="str">
        <f aca="false">IF(OR($C170="",$T170=""),"",IF($V170&lt;&gt;"",$V170,INDEX(ИНФА!$N$5:$N$19,MATCH($C170,ИНФА!$I$5:$I$19,0))))</f>
        <v/>
      </c>
      <c r="AB170" s="37" t="str">
        <f aca="false">IF($C170="","",IF($T170&lt;&gt;"",IF($U170&lt;&gt;"","продано компании "&amp;$U170&amp;" в цикле "&amp;$T170,"продано Инфраструктуре в цикле "&amp;$T170),IF($D170&gt;=ИНФА!$F$5,"доход со следующего цикла","приносит доход")))</f>
        <v/>
      </c>
      <c r="AC170" s="47" t="str">
        <f aca="false">IF($C170="","",IF($F170="","",IF($E170="","укажите продавца; ",IF(OR($F170&lt;INDEX(ИНФА!$N$5:$N$19,MATCH($C170,ИНФА!$I$5:$I$19,0)),$F170&gt;INDEX(ИНФА!$M$5:$M$19,MATCH($C170,ИНФА!$I$5:$I$19,0))),"цена покупки вне коридора! ","")))&amp;IF($U170="","",IF(OR($V170="",$T170=""),"укажите цикл и цену продажи; ",IF(OR($V170&lt;INDEX(ИНФА!$N$5:$N$19,MATCH($C170,ИНФА!$I$5:$I$19,0)),$V170&gt;INDEX(ИНФА!$M$5:$M$19,MATCH($C170,ИНФА!$I$5:$I$19,0))),"цена продажи вне коридора! ","")))&amp;IF(AND($T170="",COUNTIFS($C$5:$C170,$C170,$T$5:$T170,"")&gt;INDEX(ИНФА!$Q$5:$Q$19,MATCH($C170,ИНФА!$I$5:$I$19,0))),"лотов нет! ","")&amp;IF(AND($E170&lt;&gt;"",$F170=""),"укажите цену сделки; ","")&amp;IF(AND(N($H170)&gt;0,OR($AD170="",$AD170="Профессия"),OR($H170&gt;ИНФА!$F$29,$I170&lt;INDEX(ИНФА!$N$5:$N$19,MATCH($C170,ИНФА!$I$5:$I$19,0))+ИНФА!$F$30)),"скидка больше лимита или цена ниже выкупа + 500! ","")&amp;IF($AE170="","",IF(IFERROR(INDEX($B$5:$B$204,MATCH($AE170,$A$5:$A$204,0))=$B170,TRUE()),"бизнес-пара — только со зданием другой компании; ",""))&amp;IF($Q170="","",IF(IFERROR(INDEX(НАУКА!$B$5:$B$44,MATCH($Q170,НАУКА!$A$5:$A$44,0))&lt;&gt;$B170,FALSE()),"патент другой компании — нужна лицензия или соглашение; ","")))</f>
        <v/>
      </c>
      <c r="AD170" s="44"/>
      <c r="AE170" s="44"/>
      <c r="AF170" s="38" t="str">
        <f aca="false">IF($C170="","",IF(AND($W170=1,OR($C170="Дом",$C170="Кафе")),ИНФА!$F$17*(COUNTIFS($B$5:$B170,$B170,$C$5:$C170,$C170,$W$5:$W170,1)&lt;=COUNTIFS($B$5:$B$204,$B170,$C$5:$C$204,"Парк",$W$5:$W$204,1)),0))</f>
        <v/>
      </c>
      <c r="AG170" s="38" t="str">
        <f aca="false">IF($C170="","",IF($W170=1,IF(OR(AND($AE170&lt;&gt;"",IFERROR(INDEX($W$5:$W$204,MATCH($AE170,$A$5:$A$204,0))=1,FALSE()),IFERROR(INDEX($B$5:$B$204,MATCH($AE170,$A$5:$A$204,0))&lt;&gt;$B170,FALSE())),COUNTIFS($AE$5:$AE$204,$A170,$W$5:$W$204,1,$B$5:$B$204,"&lt;&gt;"&amp;$B170)&gt;0),ИНФА!$F$31,0),0))</f>
        <v/>
      </c>
    </row>
    <row r="171" customFormat="false" ht="15" hidden="false" customHeight="false" outlineLevel="0" collapsed="false">
      <c r="A171" s="15" t="n">
        <v>167</v>
      </c>
      <c r="B171" s="44"/>
      <c r="C171" s="44"/>
      <c r="D171" s="44"/>
      <c r="E171" s="44"/>
      <c r="F171" s="43"/>
      <c r="G171" s="38" t="str">
        <f aca="false">IF($C171="","",IF($F171&lt;&gt;"",$F171,INDEX(ИНФА!$M$5:$M$19,MATCH($C171,ИНФА!$I$5:$I$19,0))))</f>
        <v/>
      </c>
      <c r="H171" s="43"/>
      <c r="I171" s="38" t="str">
        <f aca="false">IF($C171="","",G171-N(H171))</f>
        <v/>
      </c>
      <c r="J171" s="37" t="str">
        <f aca="false">IF($C171="","",INDEX(ИНФА!$J$5:$J$19,MATCH($C171,ИНФА!$I$5:$I$19,0)))</f>
        <v/>
      </c>
      <c r="K171" s="37" t="str">
        <f aca="false">IF($C171="","",INDEX(ИНФА!$K$5:$K$19,MATCH($C171,ИНФА!$I$5:$I$19,0)))</f>
        <v/>
      </c>
      <c r="L171" s="38" t="str">
        <f aca="false">IF($C171="","",INDEX(ИНФА!$O$5:$O$19,MATCH($C171,ИНФА!$I$5:$I$19,0)))</f>
        <v/>
      </c>
      <c r="M171" s="38" t="str">
        <f aca="false">IF($C171="","",INDEX(ИНФА!$P$5:$P$19,MATCH($C171,ИНФА!$I$5:$I$19,0)))</f>
        <v/>
      </c>
      <c r="N171" s="44"/>
      <c r="O171" s="48" t="n">
        <f aca="false">IF(OR($C171="",$N171=""),1,IF(AND($J171="Услуги",IFERROR(INDEX($C$5:$C$204,MATCH($N171,$A$5:$A$204,0))=INDEX(ИНФА!$L$5:$L$19,MATCH($C171,ИНФА!$I$5:$I$19,0)),FALSE()),IFERROR(INDEX($W$5:$W$204,MATCH($N171,$A$5:$A$204,0))=1,FALSE()),COUNTIF($N$5:$N171,$N171)&lt;=ИНФА!$F$16),1+ИНФА!$F$15,1))</f>
        <v>1</v>
      </c>
      <c r="P171" s="47" t="str">
        <f aca="false">IF($C171="","",IF($J171&lt;&gt;"Услуги","",IF($N171="","нет поставщика — нужен "&amp;INDEX(ИНФА!$L$5:$L$19,MATCH($C171,ИНФА!$I$5:$I$19,0)),IF($O171&gt;1,"✓ поставка работает (+50%)",IF(IFERROR(INDEX($C$5:$C$204,MATCH($N171,$A$5:$A$204,0))&lt;&gt;INDEX(ИНФА!$L$5:$L$19,MATCH($C171,ИНФА!$I$5:$I$19,0)),TRUE()),"не тот поставщик: нужен "&amp;INDEX(ИНФА!$L$5:$L$19,MATCH($C171,ИНФА!$I$5:$I$19,0)),IF(COUNTIF($N$5:$N171,$N171)&gt;ИНФА!$F$16,"поставщик перегружен","поставщик ещё не работает или продан"))))))</f>
        <v/>
      </c>
      <c r="Q171" s="44"/>
      <c r="R171" s="48" t="str">
        <f aca="false">IF($C171="","",IF($Q171="",1,IFERROR(INDEX(НАУКА!$K$5:$K$44,MATCH($Q171,НАУКА!$A$5:$A$44,0)),1)))</f>
        <v/>
      </c>
      <c r="S171" s="37" t="str">
        <f aca="false">IF($Q171="","",IFERROR(INDEX(НАУКА!$G$5:$G$44,MATCH($Q171,НАУКА!$A$5:$A$44,0)),""))</f>
        <v/>
      </c>
      <c r="T171" s="44"/>
      <c r="U171" s="44"/>
      <c r="V171" s="43"/>
      <c r="W171" s="37" t="n">
        <f aca="false">IF(OR($C171="",$D171=""),0,IF(AND($D171&lt;ИНФА!$F$5,OR($T171="",$T171&gt;=ИНФА!$F$5)),1,0))</f>
        <v>0</v>
      </c>
      <c r="X171" s="46" t="str">
        <f aca="false">IF($C171="","",INDEX(СОБЫТИЯ!$B$5:$K$8,MATCH($K171,СОБЫТИЯ!$A$5:$A$8,0),ИНФА!$F$5))</f>
        <v/>
      </c>
      <c r="Y171" s="42" t="str">
        <f aca="false">IF($C171="","",IF($W171=1,ROUND($L171*$O171*IF(AND($Q171&lt;&gt;"",$S171&lt;&gt;""),IF($S171&lt;ИНФА!$F$5,$R171,1),1)*$X171,0)-$M171+N($AF171)+N($AG171),0))</f>
        <v/>
      </c>
      <c r="Z171" s="38" t="str">
        <f aca="false">IF($C171="","",IF($T171="",INDEX(ИНФА!$M$5:$M$19,MATCH($C171,ИНФА!$I$5:$I$19,0)),0))</f>
        <v/>
      </c>
      <c r="AA171" s="38" t="str">
        <f aca="false">IF(OR($C171="",$T171=""),"",IF($V171&lt;&gt;"",$V171,INDEX(ИНФА!$N$5:$N$19,MATCH($C171,ИНФА!$I$5:$I$19,0))))</f>
        <v/>
      </c>
      <c r="AB171" s="37" t="str">
        <f aca="false">IF($C171="","",IF($T171&lt;&gt;"",IF($U171&lt;&gt;"","продано компании "&amp;$U171&amp;" в цикле "&amp;$T171,"продано Инфраструктуре в цикле "&amp;$T171),IF($D171&gt;=ИНФА!$F$5,"доход со следующего цикла","приносит доход")))</f>
        <v/>
      </c>
      <c r="AC171" s="47" t="str">
        <f aca="false">IF($C171="","",IF($F171="","",IF($E171="","укажите продавца; ",IF(OR($F171&lt;INDEX(ИНФА!$N$5:$N$19,MATCH($C171,ИНФА!$I$5:$I$19,0)),$F171&gt;INDEX(ИНФА!$M$5:$M$19,MATCH($C171,ИНФА!$I$5:$I$19,0))),"цена покупки вне коридора! ","")))&amp;IF($U171="","",IF(OR($V171="",$T171=""),"укажите цикл и цену продажи; ",IF(OR($V171&lt;INDEX(ИНФА!$N$5:$N$19,MATCH($C171,ИНФА!$I$5:$I$19,0)),$V171&gt;INDEX(ИНФА!$M$5:$M$19,MATCH($C171,ИНФА!$I$5:$I$19,0))),"цена продажи вне коридора! ","")))&amp;IF(AND($T171="",COUNTIFS($C$5:$C171,$C171,$T$5:$T171,"")&gt;INDEX(ИНФА!$Q$5:$Q$19,MATCH($C171,ИНФА!$I$5:$I$19,0))),"лотов нет! ","")&amp;IF(AND($E171&lt;&gt;"",$F171=""),"укажите цену сделки; ","")&amp;IF(AND(N($H171)&gt;0,OR($AD171="",$AD171="Профессия"),OR($H171&gt;ИНФА!$F$29,$I171&lt;INDEX(ИНФА!$N$5:$N$19,MATCH($C171,ИНФА!$I$5:$I$19,0))+ИНФА!$F$30)),"скидка больше лимита или цена ниже выкупа + 500! ","")&amp;IF($AE171="","",IF(IFERROR(INDEX($B$5:$B$204,MATCH($AE171,$A$5:$A$204,0))=$B171,TRUE()),"бизнес-пара — только со зданием другой компании; ",""))&amp;IF($Q171="","",IF(IFERROR(INDEX(НАУКА!$B$5:$B$44,MATCH($Q171,НАУКА!$A$5:$A$44,0))&lt;&gt;$B171,FALSE()),"патент другой компании — нужна лицензия или соглашение; ","")))</f>
        <v/>
      </c>
      <c r="AD171" s="44"/>
      <c r="AE171" s="44"/>
      <c r="AF171" s="38" t="str">
        <f aca="false">IF($C171="","",IF(AND($W171=1,OR($C171="Дом",$C171="Кафе")),ИНФА!$F$17*(COUNTIFS($B$5:$B171,$B171,$C$5:$C171,$C171,$W$5:$W171,1)&lt;=COUNTIFS($B$5:$B$204,$B171,$C$5:$C$204,"Парк",$W$5:$W$204,1)),0))</f>
        <v/>
      </c>
      <c r="AG171" s="38" t="str">
        <f aca="false">IF($C171="","",IF($W171=1,IF(OR(AND($AE171&lt;&gt;"",IFERROR(INDEX($W$5:$W$204,MATCH($AE171,$A$5:$A$204,0))=1,FALSE()),IFERROR(INDEX($B$5:$B$204,MATCH($AE171,$A$5:$A$204,0))&lt;&gt;$B171,FALSE())),COUNTIFS($AE$5:$AE$204,$A171,$W$5:$W$204,1,$B$5:$B$204,"&lt;&gt;"&amp;$B171)&gt;0),ИНФА!$F$31,0),0))</f>
        <v/>
      </c>
    </row>
    <row r="172" customFormat="false" ht="15" hidden="false" customHeight="false" outlineLevel="0" collapsed="false">
      <c r="A172" s="15" t="n">
        <v>168</v>
      </c>
      <c r="B172" s="44"/>
      <c r="C172" s="44"/>
      <c r="D172" s="44"/>
      <c r="E172" s="44"/>
      <c r="F172" s="43"/>
      <c r="G172" s="38" t="str">
        <f aca="false">IF($C172="","",IF($F172&lt;&gt;"",$F172,INDEX(ИНФА!$M$5:$M$19,MATCH($C172,ИНФА!$I$5:$I$19,0))))</f>
        <v/>
      </c>
      <c r="H172" s="43"/>
      <c r="I172" s="38" t="str">
        <f aca="false">IF($C172="","",G172-N(H172))</f>
        <v/>
      </c>
      <c r="J172" s="37" t="str">
        <f aca="false">IF($C172="","",INDEX(ИНФА!$J$5:$J$19,MATCH($C172,ИНФА!$I$5:$I$19,0)))</f>
        <v/>
      </c>
      <c r="K172" s="37" t="str">
        <f aca="false">IF($C172="","",INDEX(ИНФА!$K$5:$K$19,MATCH($C172,ИНФА!$I$5:$I$19,0)))</f>
        <v/>
      </c>
      <c r="L172" s="38" t="str">
        <f aca="false">IF($C172="","",INDEX(ИНФА!$O$5:$O$19,MATCH($C172,ИНФА!$I$5:$I$19,0)))</f>
        <v/>
      </c>
      <c r="M172" s="38" t="str">
        <f aca="false">IF($C172="","",INDEX(ИНФА!$P$5:$P$19,MATCH($C172,ИНФА!$I$5:$I$19,0)))</f>
        <v/>
      </c>
      <c r="N172" s="44"/>
      <c r="O172" s="48" t="n">
        <f aca="false">IF(OR($C172="",$N172=""),1,IF(AND($J172="Услуги",IFERROR(INDEX($C$5:$C$204,MATCH($N172,$A$5:$A$204,0))=INDEX(ИНФА!$L$5:$L$19,MATCH($C172,ИНФА!$I$5:$I$19,0)),FALSE()),IFERROR(INDEX($W$5:$W$204,MATCH($N172,$A$5:$A$204,0))=1,FALSE()),COUNTIF($N$5:$N172,$N172)&lt;=ИНФА!$F$16),1+ИНФА!$F$15,1))</f>
        <v>1</v>
      </c>
      <c r="P172" s="47" t="str">
        <f aca="false">IF($C172="","",IF($J172&lt;&gt;"Услуги","",IF($N172="","нет поставщика — нужен "&amp;INDEX(ИНФА!$L$5:$L$19,MATCH($C172,ИНФА!$I$5:$I$19,0)),IF($O172&gt;1,"✓ поставка работает (+50%)",IF(IFERROR(INDEX($C$5:$C$204,MATCH($N172,$A$5:$A$204,0))&lt;&gt;INDEX(ИНФА!$L$5:$L$19,MATCH($C172,ИНФА!$I$5:$I$19,0)),TRUE()),"не тот поставщик: нужен "&amp;INDEX(ИНФА!$L$5:$L$19,MATCH($C172,ИНФА!$I$5:$I$19,0)),IF(COUNTIF($N$5:$N172,$N172)&gt;ИНФА!$F$16,"поставщик перегружен","поставщик ещё не работает или продан"))))))</f>
        <v/>
      </c>
      <c r="Q172" s="44"/>
      <c r="R172" s="48" t="str">
        <f aca="false">IF($C172="","",IF($Q172="",1,IFERROR(INDEX(НАУКА!$K$5:$K$44,MATCH($Q172,НАУКА!$A$5:$A$44,0)),1)))</f>
        <v/>
      </c>
      <c r="S172" s="37" t="str">
        <f aca="false">IF($Q172="","",IFERROR(INDEX(НАУКА!$G$5:$G$44,MATCH($Q172,НАУКА!$A$5:$A$44,0)),""))</f>
        <v/>
      </c>
      <c r="T172" s="44"/>
      <c r="U172" s="44"/>
      <c r="V172" s="43"/>
      <c r="W172" s="37" t="n">
        <f aca="false">IF(OR($C172="",$D172=""),0,IF(AND($D172&lt;ИНФА!$F$5,OR($T172="",$T172&gt;=ИНФА!$F$5)),1,0))</f>
        <v>0</v>
      </c>
      <c r="X172" s="46" t="str">
        <f aca="false">IF($C172="","",INDEX(СОБЫТИЯ!$B$5:$K$8,MATCH($K172,СОБЫТИЯ!$A$5:$A$8,0),ИНФА!$F$5))</f>
        <v/>
      </c>
      <c r="Y172" s="42" t="str">
        <f aca="false">IF($C172="","",IF($W172=1,ROUND($L172*$O172*IF(AND($Q172&lt;&gt;"",$S172&lt;&gt;""),IF($S172&lt;ИНФА!$F$5,$R172,1),1)*$X172,0)-$M172+N($AF172)+N($AG172),0))</f>
        <v/>
      </c>
      <c r="Z172" s="38" t="str">
        <f aca="false">IF($C172="","",IF($T172="",INDEX(ИНФА!$M$5:$M$19,MATCH($C172,ИНФА!$I$5:$I$19,0)),0))</f>
        <v/>
      </c>
      <c r="AA172" s="38" t="str">
        <f aca="false">IF(OR($C172="",$T172=""),"",IF($V172&lt;&gt;"",$V172,INDEX(ИНФА!$N$5:$N$19,MATCH($C172,ИНФА!$I$5:$I$19,0))))</f>
        <v/>
      </c>
      <c r="AB172" s="37" t="str">
        <f aca="false">IF($C172="","",IF($T172&lt;&gt;"",IF($U172&lt;&gt;"","продано компании "&amp;$U172&amp;" в цикле "&amp;$T172,"продано Инфраструктуре в цикле "&amp;$T172),IF($D172&gt;=ИНФА!$F$5,"доход со следующего цикла","приносит доход")))</f>
        <v/>
      </c>
      <c r="AC172" s="47" t="str">
        <f aca="false">IF($C172="","",IF($F172="","",IF($E172="","укажите продавца; ",IF(OR($F172&lt;INDEX(ИНФА!$N$5:$N$19,MATCH($C172,ИНФА!$I$5:$I$19,0)),$F172&gt;INDEX(ИНФА!$M$5:$M$19,MATCH($C172,ИНФА!$I$5:$I$19,0))),"цена покупки вне коридора! ","")))&amp;IF($U172="","",IF(OR($V172="",$T172=""),"укажите цикл и цену продажи; ",IF(OR($V172&lt;INDEX(ИНФА!$N$5:$N$19,MATCH($C172,ИНФА!$I$5:$I$19,0)),$V172&gt;INDEX(ИНФА!$M$5:$M$19,MATCH($C172,ИНФА!$I$5:$I$19,0))),"цена продажи вне коридора! ","")))&amp;IF(AND($T172="",COUNTIFS($C$5:$C172,$C172,$T$5:$T172,"")&gt;INDEX(ИНФА!$Q$5:$Q$19,MATCH($C172,ИНФА!$I$5:$I$19,0))),"лотов нет! ","")&amp;IF(AND($E172&lt;&gt;"",$F172=""),"укажите цену сделки; ","")&amp;IF(AND(N($H172)&gt;0,OR($AD172="",$AD172="Профессия"),OR($H172&gt;ИНФА!$F$29,$I172&lt;INDEX(ИНФА!$N$5:$N$19,MATCH($C172,ИНФА!$I$5:$I$19,0))+ИНФА!$F$30)),"скидка больше лимита или цена ниже выкупа + 500! ","")&amp;IF($AE172="","",IF(IFERROR(INDEX($B$5:$B$204,MATCH($AE172,$A$5:$A$204,0))=$B172,TRUE()),"бизнес-пара — только со зданием другой компании; ",""))&amp;IF($Q172="","",IF(IFERROR(INDEX(НАУКА!$B$5:$B$44,MATCH($Q172,НАУКА!$A$5:$A$44,0))&lt;&gt;$B172,FALSE()),"патент другой компании — нужна лицензия или соглашение; ","")))</f>
        <v/>
      </c>
      <c r="AD172" s="44"/>
      <c r="AE172" s="44"/>
      <c r="AF172" s="38" t="str">
        <f aca="false">IF($C172="","",IF(AND($W172=1,OR($C172="Дом",$C172="Кафе")),ИНФА!$F$17*(COUNTIFS($B$5:$B172,$B172,$C$5:$C172,$C172,$W$5:$W172,1)&lt;=COUNTIFS($B$5:$B$204,$B172,$C$5:$C$204,"Парк",$W$5:$W$204,1)),0))</f>
        <v/>
      </c>
      <c r="AG172" s="38" t="str">
        <f aca="false">IF($C172="","",IF($W172=1,IF(OR(AND($AE172&lt;&gt;"",IFERROR(INDEX($W$5:$W$204,MATCH($AE172,$A$5:$A$204,0))=1,FALSE()),IFERROR(INDEX($B$5:$B$204,MATCH($AE172,$A$5:$A$204,0))&lt;&gt;$B172,FALSE())),COUNTIFS($AE$5:$AE$204,$A172,$W$5:$W$204,1,$B$5:$B$204,"&lt;&gt;"&amp;$B172)&gt;0),ИНФА!$F$31,0),0))</f>
        <v/>
      </c>
    </row>
    <row r="173" customFormat="false" ht="15" hidden="false" customHeight="false" outlineLevel="0" collapsed="false">
      <c r="A173" s="15" t="n">
        <v>169</v>
      </c>
      <c r="B173" s="44"/>
      <c r="C173" s="44"/>
      <c r="D173" s="44"/>
      <c r="E173" s="44"/>
      <c r="F173" s="43"/>
      <c r="G173" s="38" t="str">
        <f aca="false">IF($C173="","",IF($F173&lt;&gt;"",$F173,INDEX(ИНФА!$M$5:$M$19,MATCH($C173,ИНФА!$I$5:$I$19,0))))</f>
        <v/>
      </c>
      <c r="H173" s="43"/>
      <c r="I173" s="38" t="str">
        <f aca="false">IF($C173="","",G173-N(H173))</f>
        <v/>
      </c>
      <c r="J173" s="37" t="str">
        <f aca="false">IF($C173="","",INDEX(ИНФА!$J$5:$J$19,MATCH($C173,ИНФА!$I$5:$I$19,0)))</f>
        <v/>
      </c>
      <c r="K173" s="37" t="str">
        <f aca="false">IF($C173="","",INDEX(ИНФА!$K$5:$K$19,MATCH($C173,ИНФА!$I$5:$I$19,0)))</f>
        <v/>
      </c>
      <c r="L173" s="38" t="str">
        <f aca="false">IF($C173="","",INDEX(ИНФА!$O$5:$O$19,MATCH($C173,ИНФА!$I$5:$I$19,0)))</f>
        <v/>
      </c>
      <c r="M173" s="38" t="str">
        <f aca="false">IF($C173="","",INDEX(ИНФА!$P$5:$P$19,MATCH($C173,ИНФА!$I$5:$I$19,0)))</f>
        <v/>
      </c>
      <c r="N173" s="44"/>
      <c r="O173" s="48" t="n">
        <f aca="false">IF(OR($C173="",$N173=""),1,IF(AND($J173="Услуги",IFERROR(INDEX($C$5:$C$204,MATCH($N173,$A$5:$A$204,0))=INDEX(ИНФА!$L$5:$L$19,MATCH($C173,ИНФА!$I$5:$I$19,0)),FALSE()),IFERROR(INDEX($W$5:$W$204,MATCH($N173,$A$5:$A$204,0))=1,FALSE()),COUNTIF($N$5:$N173,$N173)&lt;=ИНФА!$F$16),1+ИНФА!$F$15,1))</f>
        <v>1</v>
      </c>
      <c r="P173" s="47" t="str">
        <f aca="false">IF($C173="","",IF($J173&lt;&gt;"Услуги","",IF($N173="","нет поставщика — нужен "&amp;INDEX(ИНФА!$L$5:$L$19,MATCH($C173,ИНФА!$I$5:$I$19,0)),IF($O173&gt;1,"✓ поставка работает (+50%)",IF(IFERROR(INDEX($C$5:$C$204,MATCH($N173,$A$5:$A$204,0))&lt;&gt;INDEX(ИНФА!$L$5:$L$19,MATCH($C173,ИНФА!$I$5:$I$19,0)),TRUE()),"не тот поставщик: нужен "&amp;INDEX(ИНФА!$L$5:$L$19,MATCH($C173,ИНФА!$I$5:$I$19,0)),IF(COUNTIF($N$5:$N173,$N173)&gt;ИНФА!$F$16,"поставщик перегружен","поставщик ещё не работает или продан"))))))</f>
        <v/>
      </c>
      <c r="Q173" s="44"/>
      <c r="R173" s="48" t="str">
        <f aca="false">IF($C173="","",IF($Q173="",1,IFERROR(INDEX(НАУКА!$K$5:$K$44,MATCH($Q173,НАУКА!$A$5:$A$44,0)),1)))</f>
        <v/>
      </c>
      <c r="S173" s="37" t="str">
        <f aca="false">IF($Q173="","",IFERROR(INDEX(НАУКА!$G$5:$G$44,MATCH($Q173,НАУКА!$A$5:$A$44,0)),""))</f>
        <v/>
      </c>
      <c r="T173" s="44"/>
      <c r="U173" s="44"/>
      <c r="V173" s="43"/>
      <c r="W173" s="37" t="n">
        <f aca="false">IF(OR($C173="",$D173=""),0,IF(AND($D173&lt;ИНФА!$F$5,OR($T173="",$T173&gt;=ИНФА!$F$5)),1,0))</f>
        <v>0</v>
      </c>
      <c r="X173" s="46" t="str">
        <f aca="false">IF($C173="","",INDEX(СОБЫТИЯ!$B$5:$K$8,MATCH($K173,СОБЫТИЯ!$A$5:$A$8,0),ИНФА!$F$5))</f>
        <v/>
      </c>
      <c r="Y173" s="42" t="str">
        <f aca="false">IF($C173="","",IF($W173=1,ROUND($L173*$O173*IF(AND($Q173&lt;&gt;"",$S173&lt;&gt;""),IF($S173&lt;ИНФА!$F$5,$R173,1),1)*$X173,0)-$M173+N($AF173)+N($AG173),0))</f>
        <v/>
      </c>
      <c r="Z173" s="38" t="str">
        <f aca="false">IF($C173="","",IF($T173="",INDEX(ИНФА!$M$5:$M$19,MATCH($C173,ИНФА!$I$5:$I$19,0)),0))</f>
        <v/>
      </c>
      <c r="AA173" s="38" t="str">
        <f aca="false">IF(OR($C173="",$T173=""),"",IF($V173&lt;&gt;"",$V173,INDEX(ИНФА!$N$5:$N$19,MATCH($C173,ИНФА!$I$5:$I$19,0))))</f>
        <v/>
      </c>
      <c r="AB173" s="37" t="str">
        <f aca="false">IF($C173="","",IF($T173&lt;&gt;"",IF($U173&lt;&gt;"","продано компании "&amp;$U173&amp;" в цикле "&amp;$T173,"продано Инфраструктуре в цикле "&amp;$T173),IF($D173&gt;=ИНФА!$F$5,"доход со следующего цикла","приносит доход")))</f>
        <v/>
      </c>
      <c r="AC173" s="47" t="str">
        <f aca="false">IF($C173="","",IF($F173="","",IF($E173="","укажите продавца; ",IF(OR($F173&lt;INDEX(ИНФА!$N$5:$N$19,MATCH($C173,ИНФА!$I$5:$I$19,0)),$F173&gt;INDEX(ИНФА!$M$5:$M$19,MATCH($C173,ИНФА!$I$5:$I$19,0))),"цена покупки вне коридора! ","")))&amp;IF($U173="","",IF(OR($V173="",$T173=""),"укажите цикл и цену продажи; ",IF(OR($V173&lt;INDEX(ИНФА!$N$5:$N$19,MATCH($C173,ИНФА!$I$5:$I$19,0)),$V173&gt;INDEX(ИНФА!$M$5:$M$19,MATCH($C173,ИНФА!$I$5:$I$19,0))),"цена продажи вне коридора! ","")))&amp;IF(AND($T173="",COUNTIFS($C$5:$C173,$C173,$T$5:$T173,"")&gt;INDEX(ИНФА!$Q$5:$Q$19,MATCH($C173,ИНФА!$I$5:$I$19,0))),"лотов нет! ","")&amp;IF(AND($E173&lt;&gt;"",$F173=""),"укажите цену сделки; ","")&amp;IF(AND(N($H173)&gt;0,OR($AD173="",$AD173="Профессия"),OR($H173&gt;ИНФА!$F$29,$I173&lt;INDEX(ИНФА!$N$5:$N$19,MATCH($C173,ИНФА!$I$5:$I$19,0))+ИНФА!$F$30)),"скидка больше лимита или цена ниже выкупа + 500! ","")&amp;IF($AE173="","",IF(IFERROR(INDEX($B$5:$B$204,MATCH($AE173,$A$5:$A$204,0))=$B173,TRUE()),"бизнес-пара — только со зданием другой компании; ",""))&amp;IF($Q173="","",IF(IFERROR(INDEX(НАУКА!$B$5:$B$44,MATCH($Q173,НАУКА!$A$5:$A$44,0))&lt;&gt;$B173,FALSE()),"патент другой компании — нужна лицензия или соглашение; ","")))</f>
        <v/>
      </c>
      <c r="AD173" s="44"/>
      <c r="AE173" s="44"/>
      <c r="AF173" s="38" t="str">
        <f aca="false">IF($C173="","",IF(AND($W173=1,OR($C173="Дом",$C173="Кафе")),ИНФА!$F$17*(COUNTIFS($B$5:$B173,$B173,$C$5:$C173,$C173,$W$5:$W173,1)&lt;=COUNTIFS($B$5:$B$204,$B173,$C$5:$C$204,"Парк",$W$5:$W$204,1)),0))</f>
        <v/>
      </c>
      <c r="AG173" s="38" t="str">
        <f aca="false">IF($C173="","",IF($W173=1,IF(OR(AND($AE173&lt;&gt;"",IFERROR(INDEX($W$5:$W$204,MATCH($AE173,$A$5:$A$204,0))=1,FALSE()),IFERROR(INDEX($B$5:$B$204,MATCH($AE173,$A$5:$A$204,0))&lt;&gt;$B173,FALSE())),COUNTIFS($AE$5:$AE$204,$A173,$W$5:$W$204,1,$B$5:$B$204,"&lt;&gt;"&amp;$B173)&gt;0),ИНФА!$F$31,0),0))</f>
        <v/>
      </c>
    </row>
    <row r="174" customFormat="false" ht="15" hidden="false" customHeight="false" outlineLevel="0" collapsed="false">
      <c r="A174" s="15" t="n">
        <v>170</v>
      </c>
      <c r="B174" s="44"/>
      <c r="C174" s="44"/>
      <c r="D174" s="44"/>
      <c r="E174" s="44"/>
      <c r="F174" s="43"/>
      <c r="G174" s="38" t="str">
        <f aca="false">IF($C174="","",IF($F174&lt;&gt;"",$F174,INDEX(ИНФА!$M$5:$M$19,MATCH($C174,ИНФА!$I$5:$I$19,0))))</f>
        <v/>
      </c>
      <c r="H174" s="43"/>
      <c r="I174" s="38" t="str">
        <f aca="false">IF($C174="","",G174-N(H174))</f>
        <v/>
      </c>
      <c r="J174" s="37" t="str">
        <f aca="false">IF($C174="","",INDEX(ИНФА!$J$5:$J$19,MATCH($C174,ИНФА!$I$5:$I$19,0)))</f>
        <v/>
      </c>
      <c r="K174" s="37" t="str">
        <f aca="false">IF($C174="","",INDEX(ИНФА!$K$5:$K$19,MATCH($C174,ИНФА!$I$5:$I$19,0)))</f>
        <v/>
      </c>
      <c r="L174" s="38" t="str">
        <f aca="false">IF($C174="","",INDEX(ИНФА!$O$5:$O$19,MATCH($C174,ИНФА!$I$5:$I$19,0)))</f>
        <v/>
      </c>
      <c r="M174" s="38" t="str">
        <f aca="false">IF($C174="","",INDEX(ИНФА!$P$5:$P$19,MATCH($C174,ИНФА!$I$5:$I$19,0)))</f>
        <v/>
      </c>
      <c r="N174" s="44"/>
      <c r="O174" s="48" t="n">
        <f aca="false">IF(OR($C174="",$N174=""),1,IF(AND($J174="Услуги",IFERROR(INDEX($C$5:$C$204,MATCH($N174,$A$5:$A$204,0))=INDEX(ИНФА!$L$5:$L$19,MATCH($C174,ИНФА!$I$5:$I$19,0)),FALSE()),IFERROR(INDEX($W$5:$W$204,MATCH($N174,$A$5:$A$204,0))=1,FALSE()),COUNTIF($N$5:$N174,$N174)&lt;=ИНФА!$F$16),1+ИНФА!$F$15,1))</f>
        <v>1</v>
      </c>
      <c r="P174" s="47" t="str">
        <f aca="false">IF($C174="","",IF($J174&lt;&gt;"Услуги","",IF($N174="","нет поставщика — нужен "&amp;INDEX(ИНФА!$L$5:$L$19,MATCH($C174,ИНФА!$I$5:$I$19,0)),IF($O174&gt;1,"✓ поставка работает (+50%)",IF(IFERROR(INDEX($C$5:$C$204,MATCH($N174,$A$5:$A$204,0))&lt;&gt;INDEX(ИНФА!$L$5:$L$19,MATCH($C174,ИНФА!$I$5:$I$19,0)),TRUE()),"не тот поставщик: нужен "&amp;INDEX(ИНФА!$L$5:$L$19,MATCH($C174,ИНФА!$I$5:$I$19,0)),IF(COUNTIF($N$5:$N174,$N174)&gt;ИНФА!$F$16,"поставщик перегружен","поставщик ещё не работает или продан"))))))</f>
        <v/>
      </c>
      <c r="Q174" s="44"/>
      <c r="R174" s="48" t="str">
        <f aca="false">IF($C174="","",IF($Q174="",1,IFERROR(INDEX(НАУКА!$K$5:$K$44,MATCH($Q174,НАУКА!$A$5:$A$44,0)),1)))</f>
        <v/>
      </c>
      <c r="S174" s="37" t="str">
        <f aca="false">IF($Q174="","",IFERROR(INDEX(НАУКА!$G$5:$G$44,MATCH($Q174,НАУКА!$A$5:$A$44,0)),""))</f>
        <v/>
      </c>
      <c r="T174" s="44"/>
      <c r="U174" s="44"/>
      <c r="V174" s="43"/>
      <c r="W174" s="37" t="n">
        <f aca="false">IF(OR($C174="",$D174=""),0,IF(AND($D174&lt;ИНФА!$F$5,OR($T174="",$T174&gt;=ИНФА!$F$5)),1,0))</f>
        <v>0</v>
      </c>
      <c r="X174" s="46" t="str">
        <f aca="false">IF($C174="","",INDEX(СОБЫТИЯ!$B$5:$K$8,MATCH($K174,СОБЫТИЯ!$A$5:$A$8,0),ИНФА!$F$5))</f>
        <v/>
      </c>
      <c r="Y174" s="42" t="str">
        <f aca="false">IF($C174="","",IF($W174=1,ROUND($L174*$O174*IF(AND($Q174&lt;&gt;"",$S174&lt;&gt;""),IF($S174&lt;ИНФА!$F$5,$R174,1),1)*$X174,0)-$M174+N($AF174)+N($AG174),0))</f>
        <v/>
      </c>
      <c r="Z174" s="38" t="str">
        <f aca="false">IF($C174="","",IF($T174="",INDEX(ИНФА!$M$5:$M$19,MATCH($C174,ИНФА!$I$5:$I$19,0)),0))</f>
        <v/>
      </c>
      <c r="AA174" s="38" t="str">
        <f aca="false">IF(OR($C174="",$T174=""),"",IF($V174&lt;&gt;"",$V174,INDEX(ИНФА!$N$5:$N$19,MATCH($C174,ИНФА!$I$5:$I$19,0))))</f>
        <v/>
      </c>
      <c r="AB174" s="37" t="str">
        <f aca="false">IF($C174="","",IF($T174&lt;&gt;"",IF($U174&lt;&gt;"","продано компании "&amp;$U174&amp;" в цикле "&amp;$T174,"продано Инфраструктуре в цикле "&amp;$T174),IF($D174&gt;=ИНФА!$F$5,"доход со следующего цикла","приносит доход")))</f>
        <v/>
      </c>
      <c r="AC174" s="47" t="str">
        <f aca="false">IF($C174="","",IF($F174="","",IF($E174="","укажите продавца; ",IF(OR($F174&lt;INDEX(ИНФА!$N$5:$N$19,MATCH($C174,ИНФА!$I$5:$I$19,0)),$F174&gt;INDEX(ИНФА!$M$5:$M$19,MATCH($C174,ИНФА!$I$5:$I$19,0))),"цена покупки вне коридора! ","")))&amp;IF($U174="","",IF(OR($V174="",$T174=""),"укажите цикл и цену продажи; ",IF(OR($V174&lt;INDEX(ИНФА!$N$5:$N$19,MATCH($C174,ИНФА!$I$5:$I$19,0)),$V174&gt;INDEX(ИНФА!$M$5:$M$19,MATCH($C174,ИНФА!$I$5:$I$19,0))),"цена продажи вне коридора! ","")))&amp;IF(AND($T174="",COUNTIFS($C$5:$C174,$C174,$T$5:$T174,"")&gt;INDEX(ИНФА!$Q$5:$Q$19,MATCH($C174,ИНФА!$I$5:$I$19,0))),"лотов нет! ","")&amp;IF(AND($E174&lt;&gt;"",$F174=""),"укажите цену сделки; ","")&amp;IF(AND(N($H174)&gt;0,OR($AD174="",$AD174="Профессия"),OR($H174&gt;ИНФА!$F$29,$I174&lt;INDEX(ИНФА!$N$5:$N$19,MATCH($C174,ИНФА!$I$5:$I$19,0))+ИНФА!$F$30)),"скидка больше лимита или цена ниже выкупа + 500! ","")&amp;IF($AE174="","",IF(IFERROR(INDEX($B$5:$B$204,MATCH($AE174,$A$5:$A$204,0))=$B174,TRUE()),"бизнес-пара — только со зданием другой компании; ",""))&amp;IF($Q174="","",IF(IFERROR(INDEX(НАУКА!$B$5:$B$44,MATCH($Q174,НАУКА!$A$5:$A$44,0))&lt;&gt;$B174,FALSE()),"патент другой компании — нужна лицензия или соглашение; ","")))</f>
        <v/>
      </c>
      <c r="AD174" s="44"/>
      <c r="AE174" s="44"/>
      <c r="AF174" s="38" t="str">
        <f aca="false">IF($C174="","",IF(AND($W174=1,OR($C174="Дом",$C174="Кафе")),ИНФА!$F$17*(COUNTIFS($B$5:$B174,$B174,$C$5:$C174,$C174,$W$5:$W174,1)&lt;=COUNTIFS($B$5:$B$204,$B174,$C$5:$C$204,"Парк",$W$5:$W$204,1)),0))</f>
        <v/>
      </c>
      <c r="AG174" s="38" t="str">
        <f aca="false">IF($C174="","",IF($W174=1,IF(OR(AND($AE174&lt;&gt;"",IFERROR(INDEX($W$5:$W$204,MATCH($AE174,$A$5:$A$204,0))=1,FALSE()),IFERROR(INDEX($B$5:$B$204,MATCH($AE174,$A$5:$A$204,0))&lt;&gt;$B174,FALSE())),COUNTIFS($AE$5:$AE$204,$A174,$W$5:$W$204,1,$B$5:$B$204,"&lt;&gt;"&amp;$B174)&gt;0),ИНФА!$F$31,0),0))</f>
        <v/>
      </c>
    </row>
    <row r="175" customFormat="false" ht="15" hidden="false" customHeight="false" outlineLevel="0" collapsed="false">
      <c r="A175" s="15" t="n">
        <v>171</v>
      </c>
      <c r="B175" s="44"/>
      <c r="C175" s="44"/>
      <c r="D175" s="44"/>
      <c r="E175" s="44"/>
      <c r="F175" s="43"/>
      <c r="G175" s="38" t="str">
        <f aca="false">IF($C175="","",IF($F175&lt;&gt;"",$F175,INDEX(ИНФА!$M$5:$M$19,MATCH($C175,ИНФА!$I$5:$I$19,0))))</f>
        <v/>
      </c>
      <c r="H175" s="43"/>
      <c r="I175" s="38" t="str">
        <f aca="false">IF($C175="","",G175-N(H175))</f>
        <v/>
      </c>
      <c r="J175" s="37" t="str">
        <f aca="false">IF($C175="","",INDEX(ИНФА!$J$5:$J$19,MATCH($C175,ИНФА!$I$5:$I$19,0)))</f>
        <v/>
      </c>
      <c r="K175" s="37" t="str">
        <f aca="false">IF($C175="","",INDEX(ИНФА!$K$5:$K$19,MATCH($C175,ИНФА!$I$5:$I$19,0)))</f>
        <v/>
      </c>
      <c r="L175" s="38" t="str">
        <f aca="false">IF($C175="","",INDEX(ИНФА!$O$5:$O$19,MATCH($C175,ИНФА!$I$5:$I$19,0)))</f>
        <v/>
      </c>
      <c r="M175" s="38" t="str">
        <f aca="false">IF($C175="","",INDEX(ИНФА!$P$5:$P$19,MATCH($C175,ИНФА!$I$5:$I$19,0)))</f>
        <v/>
      </c>
      <c r="N175" s="44"/>
      <c r="O175" s="48" t="n">
        <f aca="false">IF(OR($C175="",$N175=""),1,IF(AND($J175="Услуги",IFERROR(INDEX($C$5:$C$204,MATCH($N175,$A$5:$A$204,0))=INDEX(ИНФА!$L$5:$L$19,MATCH($C175,ИНФА!$I$5:$I$19,0)),FALSE()),IFERROR(INDEX($W$5:$W$204,MATCH($N175,$A$5:$A$204,0))=1,FALSE()),COUNTIF($N$5:$N175,$N175)&lt;=ИНФА!$F$16),1+ИНФА!$F$15,1))</f>
        <v>1</v>
      </c>
      <c r="P175" s="47" t="str">
        <f aca="false">IF($C175="","",IF($J175&lt;&gt;"Услуги","",IF($N175="","нет поставщика — нужен "&amp;INDEX(ИНФА!$L$5:$L$19,MATCH($C175,ИНФА!$I$5:$I$19,0)),IF($O175&gt;1,"✓ поставка работает (+50%)",IF(IFERROR(INDEX($C$5:$C$204,MATCH($N175,$A$5:$A$204,0))&lt;&gt;INDEX(ИНФА!$L$5:$L$19,MATCH($C175,ИНФА!$I$5:$I$19,0)),TRUE()),"не тот поставщик: нужен "&amp;INDEX(ИНФА!$L$5:$L$19,MATCH($C175,ИНФА!$I$5:$I$19,0)),IF(COUNTIF($N$5:$N175,$N175)&gt;ИНФА!$F$16,"поставщик перегружен","поставщик ещё не работает или продан"))))))</f>
        <v/>
      </c>
      <c r="Q175" s="44"/>
      <c r="R175" s="48" t="str">
        <f aca="false">IF($C175="","",IF($Q175="",1,IFERROR(INDEX(НАУКА!$K$5:$K$44,MATCH($Q175,НАУКА!$A$5:$A$44,0)),1)))</f>
        <v/>
      </c>
      <c r="S175" s="37" t="str">
        <f aca="false">IF($Q175="","",IFERROR(INDEX(НАУКА!$G$5:$G$44,MATCH($Q175,НАУКА!$A$5:$A$44,0)),""))</f>
        <v/>
      </c>
      <c r="T175" s="44"/>
      <c r="U175" s="44"/>
      <c r="V175" s="43"/>
      <c r="W175" s="37" t="n">
        <f aca="false">IF(OR($C175="",$D175=""),0,IF(AND($D175&lt;ИНФА!$F$5,OR($T175="",$T175&gt;=ИНФА!$F$5)),1,0))</f>
        <v>0</v>
      </c>
      <c r="X175" s="46" t="str">
        <f aca="false">IF($C175="","",INDEX(СОБЫТИЯ!$B$5:$K$8,MATCH($K175,СОБЫТИЯ!$A$5:$A$8,0),ИНФА!$F$5))</f>
        <v/>
      </c>
      <c r="Y175" s="42" t="str">
        <f aca="false">IF($C175="","",IF($W175=1,ROUND($L175*$O175*IF(AND($Q175&lt;&gt;"",$S175&lt;&gt;""),IF($S175&lt;ИНФА!$F$5,$R175,1),1)*$X175,0)-$M175+N($AF175)+N($AG175),0))</f>
        <v/>
      </c>
      <c r="Z175" s="38" t="str">
        <f aca="false">IF($C175="","",IF($T175="",INDEX(ИНФА!$M$5:$M$19,MATCH($C175,ИНФА!$I$5:$I$19,0)),0))</f>
        <v/>
      </c>
      <c r="AA175" s="38" t="str">
        <f aca="false">IF(OR($C175="",$T175=""),"",IF($V175&lt;&gt;"",$V175,INDEX(ИНФА!$N$5:$N$19,MATCH($C175,ИНФА!$I$5:$I$19,0))))</f>
        <v/>
      </c>
      <c r="AB175" s="37" t="str">
        <f aca="false">IF($C175="","",IF($T175&lt;&gt;"",IF($U175&lt;&gt;"","продано компании "&amp;$U175&amp;" в цикле "&amp;$T175,"продано Инфраструктуре в цикле "&amp;$T175),IF($D175&gt;=ИНФА!$F$5,"доход со следующего цикла","приносит доход")))</f>
        <v/>
      </c>
      <c r="AC175" s="47" t="str">
        <f aca="false">IF($C175="","",IF($F175="","",IF($E175="","укажите продавца; ",IF(OR($F175&lt;INDEX(ИНФА!$N$5:$N$19,MATCH($C175,ИНФА!$I$5:$I$19,0)),$F175&gt;INDEX(ИНФА!$M$5:$M$19,MATCH($C175,ИНФА!$I$5:$I$19,0))),"цена покупки вне коридора! ","")))&amp;IF($U175="","",IF(OR($V175="",$T175=""),"укажите цикл и цену продажи; ",IF(OR($V175&lt;INDEX(ИНФА!$N$5:$N$19,MATCH($C175,ИНФА!$I$5:$I$19,0)),$V175&gt;INDEX(ИНФА!$M$5:$M$19,MATCH($C175,ИНФА!$I$5:$I$19,0))),"цена продажи вне коридора! ","")))&amp;IF(AND($T175="",COUNTIFS($C$5:$C175,$C175,$T$5:$T175,"")&gt;INDEX(ИНФА!$Q$5:$Q$19,MATCH($C175,ИНФА!$I$5:$I$19,0))),"лотов нет! ","")&amp;IF(AND($E175&lt;&gt;"",$F175=""),"укажите цену сделки; ","")&amp;IF(AND(N($H175)&gt;0,OR($AD175="",$AD175="Профессия"),OR($H175&gt;ИНФА!$F$29,$I175&lt;INDEX(ИНФА!$N$5:$N$19,MATCH($C175,ИНФА!$I$5:$I$19,0))+ИНФА!$F$30)),"скидка больше лимита или цена ниже выкупа + 500! ","")&amp;IF($AE175="","",IF(IFERROR(INDEX($B$5:$B$204,MATCH($AE175,$A$5:$A$204,0))=$B175,TRUE()),"бизнес-пара — только со зданием другой компании; ",""))&amp;IF($Q175="","",IF(IFERROR(INDEX(НАУКА!$B$5:$B$44,MATCH($Q175,НАУКА!$A$5:$A$44,0))&lt;&gt;$B175,FALSE()),"патент другой компании — нужна лицензия или соглашение; ","")))</f>
        <v/>
      </c>
      <c r="AD175" s="44"/>
      <c r="AE175" s="44"/>
      <c r="AF175" s="38" t="str">
        <f aca="false">IF($C175="","",IF(AND($W175=1,OR($C175="Дом",$C175="Кафе")),ИНФА!$F$17*(COUNTIFS($B$5:$B175,$B175,$C$5:$C175,$C175,$W$5:$W175,1)&lt;=COUNTIFS($B$5:$B$204,$B175,$C$5:$C$204,"Парк",$W$5:$W$204,1)),0))</f>
        <v/>
      </c>
      <c r="AG175" s="38" t="str">
        <f aca="false">IF($C175="","",IF($W175=1,IF(OR(AND($AE175&lt;&gt;"",IFERROR(INDEX($W$5:$W$204,MATCH($AE175,$A$5:$A$204,0))=1,FALSE()),IFERROR(INDEX($B$5:$B$204,MATCH($AE175,$A$5:$A$204,0))&lt;&gt;$B175,FALSE())),COUNTIFS($AE$5:$AE$204,$A175,$W$5:$W$204,1,$B$5:$B$204,"&lt;&gt;"&amp;$B175)&gt;0),ИНФА!$F$31,0),0))</f>
        <v/>
      </c>
    </row>
    <row r="176" customFormat="false" ht="15" hidden="false" customHeight="false" outlineLevel="0" collapsed="false">
      <c r="A176" s="15" t="n">
        <v>172</v>
      </c>
      <c r="B176" s="44"/>
      <c r="C176" s="44"/>
      <c r="D176" s="44"/>
      <c r="E176" s="44"/>
      <c r="F176" s="43"/>
      <c r="G176" s="38" t="str">
        <f aca="false">IF($C176="","",IF($F176&lt;&gt;"",$F176,INDEX(ИНФА!$M$5:$M$19,MATCH($C176,ИНФА!$I$5:$I$19,0))))</f>
        <v/>
      </c>
      <c r="H176" s="43"/>
      <c r="I176" s="38" t="str">
        <f aca="false">IF($C176="","",G176-N(H176))</f>
        <v/>
      </c>
      <c r="J176" s="37" t="str">
        <f aca="false">IF($C176="","",INDEX(ИНФА!$J$5:$J$19,MATCH($C176,ИНФА!$I$5:$I$19,0)))</f>
        <v/>
      </c>
      <c r="K176" s="37" t="str">
        <f aca="false">IF($C176="","",INDEX(ИНФА!$K$5:$K$19,MATCH($C176,ИНФА!$I$5:$I$19,0)))</f>
        <v/>
      </c>
      <c r="L176" s="38" t="str">
        <f aca="false">IF($C176="","",INDEX(ИНФА!$O$5:$O$19,MATCH($C176,ИНФА!$I$5:$I$19,0)))</f>
        <v/>
      </c>
      <c r="M176" s="38" t="str">
        <f aca="false">IF($C176="","",INDEX(ИНФА!$P$5:$P$19,MATCH($C176,ИНФА!$I$5:$I$19,0)))</f>
        <v/>
      </c>
      <c r="N176" s="44"/>
      <c r="O176" s="48" t="n">
        <f aca="false">IF(OR($C176="",$N176=""),1,IF(AND($J176="Услуги",IFERROR(INDEX($C$5:$C$204,MATCH($N176,$A$5:$A$204,0))=INDEX(ИНФА!$L$5:$L$19,MATCH($C176,ИНФА!$I$5:$I$19,0)),FALSE()),IFERROR(INDEX($W$5:$W$204,MATCH($N176,$A$5:$A$204,0))=1,FALSE()),COUNTIF($N$5:$N176,$N176)&lt;=ИНФА!$F$16),1+ИНФА!$F$15,1))</f>
        <v>1</v>
      </c>
      <c r="P176" s="47" t="str">
        <f aca="false">IF($C176="","",IF($J176&lt;&gt;"Услуги","",IF($N176="","нет поставщика — нужен "&amp;INDEX(ИНФА!$L$5:$L$19,MATCH($C176,ИНФА!$I$5:$I$19,0)),IF($O176&gt;1,"✓ поставка работает (+50%)",IF(IFERROR(INDEX($C$5:$C$204,MATCH($N176,$A$5:$A$204,0))&lt;&gt;INDEX(ИНФА!$L$5:$L$19,MATCH($C176,ИНФА!$I$5:$I$19,0)),TRUE()),"не тот поставщик: нужен "&amp;INDEX(ИНФА!$L$5:$L$19,MATCH($C176,ИНФА!$I$5:$I$19,0)),IF(COUNTIF($N$5:$N176,$N176)&gt;ИНФА!$F$16,"поставщик перегружен","поставщик ещё не работает или продан"))))))</f>
        <v/>
      </c>
      <c r="Q176" s="44"/>
      <c r="R176" s="48" t="str">
        <f aca="false">IF($C176="","",IF($Q176="",1,IFERROR(INDEX(НАУКА!$K$5:$K$44,MATCH($Q176,НАУКА!$A$5:$A$44,0)),1)))</f>
        <v/>
      </c>
      <c r="S176" s="37" t="str">
        <f aca="false">IF($Q176="","",IFERROR(INDEX(НАУКА!$G$5:$G$44,MATCH($Q176,НАУКА!$A$5:$A$44,0)),""))</f>
        <v/>
      </c>
      <c r="T176" s="44"/>
      <c r="U176" s="44"/>
      <c r="V176" s="43"/>
      <c r="W176" s="37" t="n">
        <f aca="false">IF(OR($C176="",$D176=""),0,IF(AND($D176&lt;ИНФА!$F$5,OR($T176="",$T176&gt;=ИНФА!$F$5)),1,0))</f>
        <v>0</v>
      </c>
      <c r="X176" s="46" t="str">
        <f aca="false">IF($C176="","",INDEX(СОБЫТИЯ!$B$5:$K$8,MATCH($K176,СОБЫТИЯ!$A$5:$A$8,0),ИНФА!$F$5))</f>
        <v/>
      </c>
      <c r="Y176" s="42" t="str">
        <f aca="false">IF($C176="","",IF($W176=1,ROUND($L176*$O176*IF(AND($Q176&lt;&gt;"",$S176&lt;&gt;""),IF($S176&lt;ИНФА!$F$5,$R176,1),1)*$X176,0)-$M176+N($AF176)+N($AG176),0))</f>
        <v/>
      </c>
      <c r="Z176" s="38" t="str">
        <f aca="false">IF($C176="","",IF($T176="",INDEX(ИНФА!$M$5:$M$19,MATCH($C176,ИНФА!$I$5:$I$19,0)),0))</f>
        <v/>
      </c>
      <c r="AA176" s="38" t="str">
        <f aca="false">IF(OR($C176="",$T176=""),"",IF($V176&lt;&gt;"",$V176,INDEX(ИНФА!$N$5:$N$19,MATCH($C176,ИНФА!$I$5:$I$19,0))))</f>
        <v/>
      </c>
      <c r="AB176" s="37" t="str">
        <f aca="false">IF($C176="","",IF($T176&lt;&gt;"",IF($U176&lt;&gt;"","продано компании "&amp;$U176&amp;" в цикле "&amp;$T176,"продано Инфраструктуре в цикле "&amp;$T176),IF($D176&gt;=ИНФА!$F$5,"доход со следующего цикла","приносит доход")))</f>
        <v/>
      </c>
      <c r="AC176" s="47" t="str">
        <f aca="false">IF($C176="","",IF($F176="","",IF($E176="","укажите продавца; ",IF(OR($F176&lt;INDEX(ИНФА!$N$5:$N$19,MATCH($C176,ИНФА!$I$5:$I$19,0)),$F176&gt;INDEX(ИНФА!$M$5:$M$19,MATCH($C176,ИНФА!$I$5:$I$19,0))),"цена покупки вне коридора! ","")))&amp;IF($U176="","",IF(OR($V176="",$T176=""),"укажите цикл и цену продажи; ",IF(OR($V176&lt;INDEX(ИНФА!$N$5:$N$19,MATCH($C176,ИНФА!$I$5:$I$19,0)),$V176&gt;INDEX(ИНФА!$M$5:$M$19,MATCH($C176,ИНФА!$I$5:$I$19,0))),"цена продажи вне коридора! ","")))&amp;IF(AND($T176="",COUNTIFS($C$5:$C176,$C176,$T$5:$T176,"")&gt;INDEX(ИНФА!$Q$5:$Q$19,MATCH($C176,ИНФА!$I$5:$I$19,0))),"лотов нет! ","")&amp;IF(AND($E176&lt;&gt;"",$F176=""),"укажите цену сделки; ","")&amp;IF(AND(N($H176)&gt;0,OR($AD176="",$AD176="Профессия"),OR($H176&gt;ИНФА!$F$29,$I176&lt;INDEX(ИНФА!$N$5:$N$19,MATCH($C176,ИНФА!$I$5:$I$19,0))+ИНФА!$F$30)),"скидка больше лимита или цена ниже выкупа + 500! ","")&amp;IF($AE176="","",IF(IFERROR(INDEX($B$5:$B$204,MATCH($AE176,$A$5:$A$204,0))=$B176,TRUE()),"бизнес-пара — только со зданием другой компании; ",""))&amp;IF($Q176="","",IF(IFERROR(INDEX(НАУКА!$B$5:$B$44,MATCH($Q176,НАУКА!$A$5:$A$44,0))&lt;&gt;$B176,FALSE()),"патент другой компании — нужна лицензия или соглашение; ","")))</f>
        <v/>
      </c>
      <c r="AD176" s="44"/>
      <c r="AE176" s="44"/>
      <c r="AF176" s="38" t="str">
        <f aca="false">IF($C176="","",IF(AND($W176=1,OR($C176="Дом",$C176="Кафе")),ИНФА!$F$17*(COUNTIFS($B$5:$B176,$B176,$C$5:$C176,$C176,$W$5:$W176,1)&lt;=COUNTIFS($B$5:$B$204,$B176,$C$5:$C$204,"Парк",$W$5:$W$204,1)),0))</f>
        <v/>
      </c>
      <c r="AG176" s="38" t="str">
        <f aca="false">IF($C176="","",IF($W176=1,IF(OR(AND($AE176&lt;&gt;"",IFERROR(INDEX($W$5:$W$204,MATCH($AE176,$A$5:$A$204,0))=1,FALSE()),IFERROR(INDEX($B$5:$B$204,MATCH($AE176,$A$5:$A$204,0))&lt;&gt;$B176,FALSE())),COUNTIFS($AE$5:$AE$204,$A176,$W$5:$W$204,1,$B$5:$B$204,"&lt;&gt;"&amp;$B176)&gt;0),ИНФА!$F$31,0),0))</f>
        <v/>
      </c>
    </row>
    <row r="177" customFormat="false" ht="15" hidden="false" customHeight="false" outlineLevel="0" collapsed="false">
      <c r="A177" s="15" t="n">
        <v>173</v>
      </c>
      <c r="B177" s="44"/>
      <c r="C177" s="44"/>
      <c r="D177" s="44"/>
      <c r="E177" s="44"/>
      <c r="F177" s="43"/>
      <c r="G177" s="38" t="str">
        <f aca="false">IF($C177="","",IF($F177&lt;&gt;"",$F177,INDEX(ИНФА!$M$5:$M$19,MATCH($C177,ИНФА!$I$5:$I$19,0))))</f>
        <v/>
      </c>
      <c r="H177" s="43"/>
      <c r="I177" s="38" t="str">
        <f aca="false">IF($C177="","",G177-N(H177))</f>
        <v/>
      </c>
      <c r="J177" s="37" t="str">
        <f aca="false">IF($C177="","",INDEX(ИНФА!$J$5:$J$19,MATCH($C177,ИНФА!$I$5:$I$19,0)))</f>
        <v/>
      </c>
      <c r="K177" s="37" t="str">
        <f aca="false">IF($C177="","",INDEX(ИНФА!$K$5:$K$19,MATCH($C177,ИНФА!$I$5:$I$19,0)))</f>
        <v/>
      </c>
      <c r="L177" s="38" t="str">
        <f aca="false">IF($C177="","",INDEX(ИНФА!$O$5:$O$19,MATCH($C177,ИНФА!$I$5:$I$19,0)))</f>
        <v/>
      </c>
      <c r="M177" s="38" t="str">
        <f aca="false">IF($C177="","",INDEX(ИНФА!$P$5:$P$19,MATCH($C177,ИНФА!$I$5:$I$19,0)))</f>
        <v/>
      </c>
      <c r="N177" s="44"/>
      <c r="O177" s="48" t="n">
        <f aca="false">IF(OR($C177="",$N177=""),1,IF(AND($J177="Услуги",IFERROR(INDEX($C$5:$C$204,MATCH($N177,$A$5:$A$204,0))=INDEX(ИНФА!$L$5:$L$19,MATCH($C177,ИНФА!$I$5:$I$19,0)),FALSE()),IFERROR(INDEX($W$5:$W$204,MATCH($N177,$A$5:$A$204,0))=1,FALSE()),COUNTIF($N$5:$N177,$N177)&lt;=ИНФА!$F$16),1+ИНФА!$F$15,1))</f>
        <v>1</v>
      </c>
      <c r="P177" s="47" t="str">
        <f aca="false">IF($C177="","",IF($J177&lt;&gt;"Услуги","",IF($N177="","нет поставщика — нужен "&amp;INDEX(ИНФА!$L$5:$L$19,MATCH($C177,ИНФА!$I$5:$I$19,0)),IF($O177&gt;1,"✓ поставка работает (+50%)",IF(IFERROR(INDEX($C$5:$C$204,MATCH($N177,$A$5:$A$204,0))&lt;&gt;INDEX(ИНФА!$L$5:$L$19,MATCH($C177,ИНФА!$I$5:$I$19,0)),TRUE()),"не тот поставщик: нужен "&amp;INDEX(ИНФА!$L$5:$L$19,MATCH($C177,ИНФА!$I$5:$I$19,0)),IF(COUNTIF($N$5:$N177,$N177)&gt;ИНФА!$F$16,"поставщик перегружен","поставщик ещё не работает или продан"))))))</f>
        <v/>
      </c>
      <c r="Q177" s="44"/>
      <c r="R177" s="48" t="str">
        <f aca="false">IF($C177="","",IF($Q177="",1,IFERROR(INDEX(НАУКА!$K$5:$K$44,MATCH($Q177,НАУКА!$A$5:$A$44,0)),1)))</f>
        <v/>
      </c>
      <c r="S177" s="37" t="str">
        <f aca="false">IF($Q177="","",IFERROR(INDEX(НАУКА!$G$5:$G$44,MATCH($Q177,НАУКА!$A$5:$A$44,0)),""))</f>
        <v/>
      </c>
      <c r="T177" s="44"/>
      <c r="U177" s="44"/>
      <c r="V177" s="43"/>
      <c r="W177" s="37" t="n">
        <f aca="false">IF(OR($C177="",$D177=""),0,IF(AND($D177&lt;ИНФА!$F$5,OR($T177="",$T177&gt;=ИНФА!$F$5)),1,0))</f>
        <v>0</v>
      </c>
      <c r="X177" s="46" t="str">
        <f aca="false">IF($C177="","",INDEX(СОБЫТИЯ!$B$5:$K$8,MATCH($K177,СОБЫТИЯ!$A$5:$A$8,0),ИНФА!$F$5))</f>
        <v/>
      </c>
      <c r="Y177" s="42" t="str">
        <f aca="false">IF($C177="","",IF($W177=1,ROUND($L177*$O177*IF(AND($Q177&lt;&gt;"",$S177&lt;&gt;""),IF($S177&lt;ИНФА!$F$5,$R177,1),1)*$X177,0)-$M177+N($AF177)+N($AG177),0))</f>
        <v/>
      </c>
      <c r="Z177" s="38" t="str">
        <f aca="false">IF($C177="","",IF($T177="",INDEX(ИНФА!$M$5:$M$19,MATCH($C177,ИНФА!$I$5:$I$19,0)),0))</f>
        <v/>
      </c>
      <c r="AA177" s="38" t="str">
        <f aca="false">IF(OR($C177="",$T177=""),"",IF($V177&lt;&gt;"",$V177,INDEX(ИНФА!$N$5:$N$19,MATCH($C177,ИНФА!$I$5:$I$19,0))))</f>
        <v/>
      </c>
      <c r="AB177" s="37" t="str">
        <f aca="false">IF($C177="","",IF($T177&lt;&gt;"",IF($U177&lt;&gt;"","продано компании "&amp;$U177&amp;" в цикле "&amp;$T177,"продано Инфраструктуре в цикле "&amp;$T177),IF($D177&gt;=ИНФА!$F$5,"доход со следующего цикла","приносит доход")))</f>
        <v/>
      </c>
      <c r="AC177" s="47" t="str">
        <f aca="false">IF($C177="","",IF($F177="","",IF($E177="","укажите продавца; ",IF(OR($F177&lt;INDEX(ИНФА!$N$5:$N$19,MATCH($C177,ИНФА!$I$5:$I$19,0)),$F177&gt;INDEX(ИНФА!$M$5:$M$19,MATCH($C177,ИНФА!$I$5:$I$19,0))),"цена покупки вне коридора! ","")))&amp;IF($U177="","",IF(OR($V177="",$T177=""),"укажите цикл и цену продажи; ",IF(OR($V177&lt;INDEX(ИНФА!$N$5:$N$19,MATCH($C177,ИНФА!$I$5:$I$19,0)),$V177&gt;INDEX(ИНФА!$M$5:$M$19,MATCH($C177,ИНФА!$I$5:$I$19,0))),"цена продажи вне коридора! ","")))&amp;IF(AND($T177="",COUNTIFS($C$5:$C177,$C177,$T$5:$T177,"")&gt;INDEX(ИНФА!$Q$5:$Q$19,MATCH($C177,ИНФА!$I$5:$I$19,0))),"лотов нет! ","")&amp;IF(AND($E177&lt;&gt;"",$F177=""),"укажите цену сделки; ","")&amp;IF(AND(N($H177)&gt;0,OR($AD177="",$AD177="Профессия"),OR($H177&gt;ИНФА!$F$29,$I177&lt;INDEX(ИНФА!$N$5:$N$19,MATCH($C177,ИНФА!$I$5:$I$19,0))+ИНФА!$F$30)),"скидка больше лимита или цена ниже выкупа + 500! ","")&amp;IF($AE177="","",IF(IFERROR(INDEX($B$5:$B$204,MATCH($AE177,$A$5:$A$204,0))=$B177,TRUE()),"бизнес-пара — только со зданием другой компании; ",""))&amp;IF($Q177="","",IF(IFERROR(INDEX(НАУКА!$B$5:$B$44,MATCH($Q177,НАУКА!$A$5:$A$44,0))&lt;&gt;$B177,FALSE()),"патент другой компании — нужна лицензия или соглашение; ","")))</f>
        <v/>
      </c>
      <c r="AD177" s="44"/>
      <c r="AE177" s="44"/>
      <c r="AF177" s="38" t="str">
        <f aca="false">IF($C177="","",IF(AND($W177=1,OR($C177="Дом",$C177="Кафе")),ИНФА!$F$17*(COUNTIFS($B$5:$B177,$B177,$C$5:$C177,$C177,$W$5:$W177,1)&lt;=COUNTIFS($B$5:$B$204,$B177,$C$5:$C$204,"Парк",$W$5:$W$204,1)),0))</f>
        <v/>
      </c>
      <c r="AG177" s="38" t="str">
        <f aca="false">IF($C177="","",IF($W177=1,IF(OR(AND($AE177&lt;&gt;"",IFERROR(INDEX($W$5:$W$204,MATCH($AE177,$A$5:$A$204,0))=1,FALSE()),IFERROR(INDEX($B$5:$B$204,MATCH($AE177,$A$5:$A$204,0))&lt;&gt;$B177,FALSE())),COUNTIFS($AE$5:$AE$204,$A177,$W$5:$W$204,1,$B$5:$B$204,"&lt;&gt;"&amp;$B177)&gt;0),ИНФА!$F$31,0),0))</f>
        <v/>
      </c>
    </row>
    <row r="178" customFormat="false" ht="15" hidden="false" customHeight="false" outlineLevel="0" collapsed="false">
      <c r="A178" s="15" t="n">
        <v>174</v>
      </c>
      <c r="B178" s="44"/>
      <c r="C178" s="44"/>
      <c r="D178" s="44"/>
      <c r="E178" s="44"/>
      <c r="F178" s="43"/>
      <c r="G178" s="38" t="str">
        <f aca="false">IF($C178="","",IF($F178&lt;&gt;"",$F178,INDEX(ИНФА!$M$5:$M$19,MATCH($C178,ИНФА!$I$5:$I$19,0))))</f>
        <v/>
      </c>
      <c r="H178" s="43"/>
      <c r="I178" s="38" t="str">
        <f aca="false">IF($C178="","",G178-N(H178))</f>
        <v/>
      </c>
      <c r="J178" s="37" t="str">
        <f aca="false">IF($C178="","",INDEX(ИНФА!$J$5:$J$19,MATCH($C178,ИНФА!$I$5:$I$19,0)))</f>
        <v/>
      </c>
      <c r="K178" s="37" t="str">
        <f aca="false">IF($C178="","",INDEX(ИНФА!$K$5:$K$19,MATCH($C178,ИНФА!$I$5:$I$19,0)))</f>
        <v/>
      </c>
      <c r="L178" s="38" t="str">
        <f aca="false">IF($C178="","",INDEX(ИНФА!$O$5:$O$19,MATCH($C178,ИНФА!$I$5:$I$19,0)))</f>
        <v/>
      </c>
      <c r="M178" s="38" t="str">
        <f aca="false">IF($C178="","",INDEX(ИНФА!$P$5:$P$19,MATCH($C178,ИНФА!$I$5:$I$19,0)))</f>
        <v/>
      </c>
      <c r="N178" s="44"/>
      <c r="O178" s="48" t="n">
        <f aca="false">IF(OR($C178="",$N178=""),1,IF(AND($J178="Услуги",IFERROR(INDEX($C$5:$C$204,MATCH($N178,$A$5:$A$204,0))=INDEX(ИНФА!$L$5:$L$19,MATCH($C178,ИНФА!$I$5:$I$19,0)),FALSE()),IFERROR(INDEX($W$5:$W$204,MATCH($N178,$A$5:$A$204,0))=1,FALSE()),COUNTIF($N$5:$N178,$N178)&lt;=ИНФА!$F$16),1+ИНФА!$F$15,1))</f>
        <v>1</v>
      </c>
      <c r="P178" s="47" t="str">
        <f aca="false">IF($C178="","",IF($J178&lt;&gt;"Услуги","",IF($N178="","нет поставщика — нужен "&amp;INDEX(ИНФА!$L$5:$L$19,MATCH($C178,ИНФА!$I$5:$I$19,0)),IF($O178&gt;1,"✓ поставка работает (+50%)",IF(IFERROR(INDEX($C$5:$C$204,MATCH($N178,$A$5:$A$204,0))&lt;&gt;INDEX(ИНФА!$L$5:$L$19,MATCH($C178,ИНФА!$I$5:$I$19,0)),TRUE()),"не тот поставщик: нужен "&amp;INDEX(ИНФА!$L$5:$L$19,MATCH($C178,ИНФА!$I$5:$I$19,0)),IF(COUNTIF($N$5:$N178,$N178)&gt;ИНФА!$F$16,"поставщик перегружен","поставщик ещё не работает или продан"))))))</f>
        <v/>
      </c>
      <c r="Q178" s="44"/>
      <c r="R178" s="48" t="str">
        <f aca="false">IF($C178="","",IF($Q178="",1,IFERROR(INDEX(НАУКА!$K$5:$K$44,MATCH($Q178,НАУКА!$A$5:$A$44,0)),1)))</f>
        <v/>
      </c>
      <c r="S178" s="37" t="str">
        <f aca="false">IF($Q178="","",IFERROR(INDEX(НАУКА!$G$5:$G$44,MATCH($Q178,НАУКА!$A$5:$A$44,0)),""))</f>
        <v/>
      </c>
      <c r="T178" s="44"/>
      <c r="U178" s="44"/>
      <c r="V178" s="43"/>
      <c r="W178" s="37" t="n">
        <f aca="false">IF(OR($C178="",$D178=""),0,IF(AND($D178&lt;ИНФА!$F$5,OR($T178="",$T178&gt;=ИНФА!$F$5)),1,0))</f>
        <v>0</v>
      </c>
      <c r="X178" s="46" t="str">
        <f aca="false">IF($C178="","",INDEX(СОБЫТИЯ!$B$5:$K$8,MATCH($K178,СОБЫТИЯ!$A$5:$A$8,0),ИНФА!$F$5))</f>
        <v/>
      </c>
      <c r="Y178" s="42" t="str">
        <f aca="false">IF($C178="","",IF($W178=1,ROUND($L178*$O178*IF(AND($Q178&lt;&gt;"",$S178&lt;&gt;""),IF($S178&lt;ИНФА!$F$5,$R178,1),1)*$X178,0)-$M178+N($AF178)+N($AG178),0))</f>
        <v/>
      </c>
      <c r="Z178" s="38" t="str">
        <f aca="false">IF($C178="","",IF($T178="",INDEX(ИНФА!$M$5:$M$19,MATCH($C178,ИНФА!$I$5:$I$19,0)),0))</f>
        <v/>
      </c>
      <c r="AA178" s="38" t="str">
        <f aca="false">IF(OR($C178="",$T178=""),"",IF($V178&lt;&gt;"",$V178,INDEX(ИНФА!$N$5:$N$19,MATCH($C178,ИНФА!$I$5:$I$19,0))))</f>
        <v/>
      </c>
      <c r="AB178" s="37" t="str">
        <f aca="false">IF($C178="","",IF($T178&lt;&gt;"",IF($U178&lt;&gt;"","продано компании "&amp;$U178&amp;" в цикле "&amp;$T178,"продано Инфраструктуре в цикле "&amp;$T178),IF($D178&gt;=ИНФА!$F$5,"доход со следующего цикла","приносит доход")))</f>
        <v/>
      </c>
      <c r="AC178" s="47" t="str">
        <f aca="false">IF($C178="","",IF($F178="","",IF($E178="","укажите продавца; ",IF(OR($F178&lt;INDEX(ИНФА!$N$5:$N$19,MATCH($C178,ИНФА!$I$5:$I$19,0)),$F178&gt;INDEX(ИНФА!$M$5:$M$19,MATCH($C178,ИНФА!$I$5:$I$19,0))),"цена покупки вне коридора! ","")))&amp;IF($U178="","",IF(OR($V178="",$T178=""),"укажите цикл и цену продажи; ",IF(OR($V178&lt;INDEX(ИНФА!$N$5:$N$19,MATCH($C178,ИНФА!$I$5:$I$19,0)),$V178&gt;INDEX(ИНФА!$M$5:$M$19,MATCH($C178,ИНФА!$I$5:$I$19,0))),"цена продажи вне коридора! ","")))&amp;IF(AND($T178="",COUNTIFS($C$5:$C178,$C178,$T$5:$T178,"")&gt;INDEX(ИНФА!$Q$5:$Q$19,MATCH($C178,ИНФА!$I$5:$I$19,0))),"лотов нет! ","")&amp;IF(AND($E178&lt;&gt;"",$F178=""),"укажите цену сделки; ","")&amp;IF(AND(N($H178)&gt;0,OR($AD178="",$AD178="Профессия"),OR($H178&gt;ИНФА!$F$29,$I178&lt;INDEX(ИНФА!$N$5:$N$19,MATCH($C178,ИНФА!$I$5:$I$19,0))+ИНФА!$F$30)),"скидка больше лимита или цена ниже выкупа + 500! ","")&amp;IF($AE178="","",IF(IFERROR(INDEX($B$5:$B$204,MATCH($AE178,$A$5:$A$204,0))=$B178,TRUE()),"бизнес-пара — только со зданием другой компании; ",""))&amp;IF($Q178="","",IF(IFERROR(INDEX(НАУКА!$B$5:$B$44,MATCH($Q178,НАУКА!$A$5:$A$44,0))&lt;&gt;$B178,FALSE()),"патент другой компании — нужна лицензия или соглашение; ","")))</f>
        <v/>
      </c>
      <c r="AD178" s="44"/>
      <c r="AE178" s="44"/>
      <c r="AF178" s="38" t="str">
        <f aca="false">IF($C178="","",IF(AND($W178=1,OR($C178="Дом",$C178="Кафе")),ИНФА!$F$17*(COUNTIFS($B$5:$B178,$B178,$C$5:$C178,$C178,$W$5:$W178,1)&lt;=COUNTIFS($B$5:$B$204,$B178,$C$5:$C$204,"Парк",$W$5:$W$204,1)),0))</f>
        <v/>
      </c>
      <c r="AG178" s="38" t="str">
        <f aca="false">IF($C178="","",IF($W178=1,IF(OR(AND($AE178&lt;&gt;"",IFERROR(INDEX($W$5:$W$204,MATCH($AE178,$A$5:$A$204,0))=1,FALSE()),IFERROR(INDEX($B$5:$B$204,MATCH($AE178,$A$5:$A$204,0))&lt;&gt;$B178,FALSE())),COUNTIFS($AE$5:$AE$204,$A178,$W$5:$W$204,1,$B$5:$B$204,"&lt;&gt;"&amp;$B178)&gt;0),ИНФА!$F$31,0),0))</f>
        <v/>
      </c>
    </row>
    <row r="179" customFormat="false" ht="15" hidden="false" customHeight="false" outlineLevel="0" collapsed="false">
      <c r="A179" s="15" t="n">
        <v>175</v>
      </c>
      <c r="B179" s="44"/>
      <c r="C179" s="44"/>
      <c r="D179" s="44"/>
      <c r="E179" s="44"/>
      <c r="F179" s="43"/>
      <c r="G179" s="38" t="str">
        <f aca="false">IF($C179="","",IF($F179&lt;&gt;"",$F179,INDEX(ИНФА!$M$5:$M$19,MATCH($C179,ИНФА!$I$5:$I$19,0))))</f>
        <v/>
      </c>
      <c r="H179" s="43"/>
      <c r="I179" s="38" t="str">
        <f aca="false">IF($C179="","",G179-N(H179))</f>
        <v/>
      </c>
      <c r="J179" s="37" t="str">
        <f aca="false">IF($C179="","",INDEX(ИНФА!$J$5:$J$19,MATCH($C179,ИНФА!$I$5:$I$19,0)))</f>
        <v/>
      </c>
      <c r="K179" s="37" t="str">
        <f aca="false">IF($C179="","",INDEX(ИНФА!$K$5:$K$19,MATCH($C179,ИНФА!$I$5:$I$19,0)))</f>
        <v/>
      </c>
      <c r="L179" s="38" t="str">
        <f aca="false">IF($C179="","",INDEX(ИНФА!$O$5:$O$19,MATCH($C179,ИНФА!$I$5:$I$19,0)))</f>
        <v/>
      </c>
      <c r="M179" s="38" t="str">
        <f aca="false">IF($C179="","",INDEX(ИНФА!$P$5:$P$19,MATCH($C179,ИНФА!$I$5:$I$19,0)))</f>
        <v/>
      </c>
      <c r="N179" s="44"/>
      <c r="O179" s="48" t="n">
        <f aca="false">IF(OR($C179="",$N179=""),1,IF(AND($J179="Услуги",IFERROR(INDEX($C$5:$C$204,MATCH($N179,$A$5:$A$204,0))=INDEX(ИНФА!$L$5:$L$19,MATCH($C179,ИНФА!$I$5:$I$19,0)),FALSE()),IFERROR(INDEX($W$5:$W$204,MATCH($N179,$A$5:$A$204,0))=1,FALSE()),COUNTIF($N$5:$N179,$N179)&lt;=ИНФА!$F$16),1+ИНФА!$F$15,1))</f>
        <v>1</v>
      </c>
      <c r="P179" s="47" t="str">
        <f aca="false">IF($C179="","",IF($J179&lt;&gt;"Услуги","",IF($N179="","нет поставщика — нужен "&amp;INDEX(ИНФА!$L$5:$L$19,MATCH($C179,ИНФА!$I$5:$I$19,0)),IF($O179&gt;1,"✓ поставка работает (+50%)",IF(IFERROR(INDEX($C$5:$C$204,MATCH($N179,$A$5:$A$204,0))&lt;&gt;INDEX(ИНФА!$L$5:$L$19,MATCH($C179,ИНФА!$I$5:$I$19,0)),TRUE()),"не тот поставщик: нужен "&amp;INDEX(ИНФА!$L$5:$L$19,MATCH($C179,ИНФА!$I$5:$I$19,0)),IF(COUNTIF($N$5:$N179,$N179)&gt;ИНФА!$F$16,"поставщик перегружен","поставщик ещё не работает или продан"))))))</f>
        <v/>
      </c>
      <c r="Q179" s="44"/>
      <c r="R179" s="48" t="str">
        <f aca="false">IF($C179="","",IF($Q179="",1,IFERROR(INDEX(НАУКА!$K$5:$K$44,MATCH($Q179,НАУКА!$A$5:$A$44,0)),1)))</f>
        <v/>
      </c>
      <c r="S179" s="37" t="str">
        <f aca="false">IF($Q179="","",IFERROR(INDEX(НАУКА!$G$5:$G$44,MATCH($Q179,НАУКА!$A$5:$A$44,0)),""))</f>
        <v/>
      </c>
      <c r="T179" s="44"/>
      <c r="U179" s="44"/>
      <c r="V179" s="43"/>
      <c r="W179" s="37" t="n">
        <f aca="false">IF(OR($C179="",$D179=""),0,IF(AND($D179&lt;ИНФА!$F$5,OR($T179="",$T179&gt;=ИНФА!$F$5)),1,0))</f>
        <v>0</v>
      </c>
      <c r="X179" s="46" t="str">
        <f aca="false">IF($C179="","",INDEX(СОБЫТИЯ!$B$5:$K$8,MATCH($K179,СОБЫТИЯ!$A$5:$A$8,0),ИНФА!$F$5))</f>
        <v/>
      </c>
      <c r="Y179" s="42" t="str">
        <f aca="false">IF($C179="","",IF($W179=1,ROUND($L179*$O179*IF(AND($Q179&lt;&gt;"",$S179&lt;&gt;""),IF($S179&lt;ИНФА!$F$5,$R179,1),1)*$X179,0)-$M179+N($AF179)+N($AG179),0))</f>
        <v/>
      </c>
      <c r="Z179" s="38" t="str">
        <f aca="false">IF($C179="","",IF($T179="",INDEX(ИНФА!$M$5:$M$19,MATCH($C179,ИНФА!$I$5:$I$19,0)),0))</f>
        <v/>
      </c>
      <c r="AA179" s="38" t="str">
        <f aca="false">IF(OR($C179="",$T179=""),"",IF($V179&lt;&gt;"",$V179,INDEX(ИНФА!$N$5:$N$19,MATCH($C179,ИНФА!$I$5:$I$19,0))))</f>
        <v/>
      </c>
      <c r="AB179" s="37" t="str">
        <f aca="false">IF($C179="","",IF($T179&lt;&gt;"",IF($U179&lt;&gt;"","продано компании "&amp;$U179&amp;" в цикле "&amp;$T179,"продано Инфраструктуре в цикле "&amp;$T179),IF($D179&gt;=ИНФА!$F$5,"доход со следующего цикла","приносит доход")))</f>
        <v/>
      </c>
      <c r="AC179" s="47" t="str">
        <f aca="false">IF($C179="","",IF($F179="","",IF($E179="","укажите продавца; ",IF(OR($F179&lt;INDEX(ИНФА!$N$5:$N$19,MATCH($C179,ИНФА!$I$5:$I$19,0)),$F179&gt;INDEX(ИНФА!$M$5:$M$19,MATCH($C179,ИНФА!$I$5:$I$19,0))),"цена покупки вне коридора! ","")))&amp;IF($U179="","",IF(OR($V179="",$T179=""),"укажите цикл и цену продажи; ",IF(OR($V179&lt;INDEX(ИНФА!$N$5:$N$19,MATCH($C179,ИНФА!$I$5:$I$19,0)),$V179&gt;INDEX(ИНФА!$M$5:$M$19,MATCH($C179,ИНФА!$I$5:$I$19,0))),"цена продажи вне коридора! ","")))&amp;IF(AND($T179="",COUNTIFS($C$5:$C179,$C179,$T$5:$T179,"")&gt;INDEX(ИНФА!$Q$5:$Q$19,MATCH($C179,ИНФА!$I$5:$I$19,0))),"лотов нет! ","")&amp;IF(AND($E179&lt;&gt;"",$F179=""),"укажите цену сделки; ","")&amp;IF(AND(N($H179)&gt;0,OR($AD179="",$AD179="Профессия"),OR($H179&gt;ИНФА!$F$29,$I179&lt;INDEX(ИНФА!$N$5:$N$19,MATCH($C179,ИНФА!$I$5:$I$19,0))+ИНФА!$F$30)),"скидка больше лимита или цена ниже выкупа + 500! ","")&amp;IF($AE179="","",IF(IFERROR(INDEX($B$5:$B$204,MATCH($AE179,$A$5:$A$204,0))=$B179,TRUE()),"бизнес-пара — только со зданием другой компании; ",""))&amp;IF($Q179="","",IF(IFERROR(INDEX(НАУКА!$B$5:$B$44,MATCH($Q179,НАУКА!$A$5:$A$44,0))&lt;&gt;$B179,FALSE()),"патент другой компании — нужна лицензия или соглашение; ","")))</f>
        <v/>
      </c>
      <c r="AD179" s="44"/>
      <c r="AE179" s="44"/>
      <c r="AF179" s="38" t="str">
        <f aca="false">IF($C179="","",IF(AND($W179=1,OR($C179="Дом",$C179="Кафе")),ИНФА!$F$17*(COUNTIFS($B$5:$B179,$B179,$C$5:$C179,$C179,$W$5:$W179,1)&lt;=COUNTIFS($B$5:$B$204,$B179,$C$5:$C$204,"Парк",$W$5:$W$204,1)),0))</f>
        <v/>
      </c>
      <c r="AG179" s="38" t="str">
        <f aca="false">IF($C179="","",IF($W179=1,IF(OR(AND($AE179&lt;&gt;"",IFERROR(INDEX($W$5:$W$204,MATCH($AE179,$A$5:$A$204,0))=1,FALSE()),IFERROR(INDEX($B$5:$B$204,MATCH($AE179,$A$5:$A$204,0))&lt;&gt;$B179,FALSE())),COUNTIFS($AE$5:$AE$204,$A179,$W$5:$W$204,1,$B$5:$B$204,"&lt;&gt;"&amp;$B179)&gt;0),ИНФА!$F$31,0),0))</f>
        <v/>
      </c>
    </row>
    <row r="180" customFormat="false" ht="15" hidden="false" customHeight="false" outlineLevel="0" collapsed="false">
      <c r="A180" s="15" t="n">
        <v>176</v>
      </c>
      <c r="B180" s="44"/>
      <c r="C180" s="44"/>
      <c r="D180" s="44"/>
      <c r="E180" s="44"/>
      <c r="F180" s="43"/>
      <c r="G180" s="38" t="str">
        <f aca="false">IF($C180="","",IF($F180&lt;&gt;"",$F180,INDEX(ИНФА!$M$5:$M$19,MATCH($C180,ИНФА!$I$5:$I$19,0))))</f>
        <v/>
      </c>
      <c r="H180" s="43"/>
      <c r="I180" s="38" t="str">
        <f aca="false">IF($C180="","",G180-N(H180))</f>
        <v/>
      </c>
      <c r="J180" s="37" t="str">
        <f aca="false">IF($C180="","",INDEX(ИНФА!$J$5:$J$19,MATCH($C180,ИНФА!$I$5:$I$19,0)))</f>
        <v/>
      </c>
      <c r="K180" s="37" t="str">
        <f aca="false">IF($C180="","",INDEX(ИНФА!$K$5:$K$19,MATCH($C180,ИНФА!$I$5:$I$19,0)))</f>
        <v/>
      </c>
      <c r="L180" s="38" t="str">
        <f aca="false">IF($C180="","",INDEX(ИНФА!$O$5:$O$19,MATCH($C180,ИНФА!$I$5:$I$19,0)))</f>
        <v/>
      </c>
      <c r="M180" s="38" t="str">
        <f aca="false">IF($C180="","",INDEX(ИНФА!$P$5:$P$19,MATCH($C180,ИНФА!$I$5:$I$19,0)))</f>
        <v/>
      </c>
      <c r="N180" s="44"/>
      <c r="O180" s="48" t="n">
        <f aca="false">IF(OR($C180="",$N180=""),1,IF(AND($J180="Услуги",IFERROR(INDEX($C$5:$C$204,MATCH($N180,$A$5:$A$204,0))=INDEX(ИНФА!$L$5:$L$19,MATCH($C180,ИНФА!$I$5:$I$19,0)),FALSE()),IFERROR(INDEX($W$5:$W$204,MATCH($N180,$A$5:$A$204,0))=1,FALSE()),COUNTIF($N$5:$N180,$N180)&lt;=ИНФА!$F$16),1+ИНФА!$F$15,1))</f>
        <v>1</v>
      </c>
      <c r="P180" s="47" t="str">
        <f aca="false">IF($C180="","",IF($J180&lt;&gt;"Услуги","",IF($N180="","нет поставщика — нужен "&amp;INDEX(ИНФА!$L$5:$L$19,MATCH($C180,ИНФА!$I$5:$I$19,0)),IF($O180&gt;1,"✓ поставка работает (+50%)",IF(IFERROR(INDEX($C$5:$C$204,MATCH($N180,$A$5:$A$204,0))&lt;&gt;INDEX(ИНФА!$L$5:$L$19,MATCH($C180,ИНФА!$I$5:$I$19,0)),TRUE()),"не тот поставщик: нужен "&amp;INDEX(ИНФА!$L$5:$L$19,MATCH($C180,ИНФА!$I$5:$I$19,0)),IF(COUNTIF($N$5:$N180,$N180)&gt;ИНФА!$F$16,"поставщик перегружен","поставщик ещё не работает или продан"))))))</f>
        <v/>
      </c>
      <c r="Q180" s="44"/>
      <c r="R180" s="48" t="str">
        <f aca="false">IF($C180="","",IF($Q180="",1,IFERROR(INDEX(НАУКА!$K$5:$K$44,MATCH($Q180,НАУКА!$A$5:$A$44,0)),1)))</f>
        <v/>
      </c>
      <c r="S180" s="37" t="str">
        <f aca="false">IF($Q180="","",IFERROR(INDEX(НАУКА!$G$5:$G$44,MATCH($Q180,НАУКА!$A$5:$A$44,0)),""))</f>
        <v/>
      </c>
      <c r="T180" s="44"/>
      <c r="U180" s="44"/>
      <c r="V180" s="43"/>
      <c r="W180" s="37" t="n">
        <f aca="false">IF(OR($C180="",$D180=""),0,IF(AND($D180&lt;ИНФА!$F$5,OR($T180="",$T180&gt;=ИНФА!$F$5)),1,0))</f>
        <v>0</v>
      </c>
      <c r="X180" s="46" t="str">
        <f aca="false">IF($C180="","",INDEX(СОБЫТИЯ!$B$5:$K$8,MATCH($K180,СОБЫТИЯ!$A$5:$A$8,0),ИНФА!$F$5))</f>
        <v/>
      </c>
      <c r="Y180" s="42" t="str">
        <f aca="false">IF($C180="","",IF($W180=1,ROUND($L180*$O180*IF(AND($Q180&lt;&gt;"",$S180&lt;&gt;""),IF($S180&lt;ИНФА!$F$5,$R180,1),1)*$X180,0)-$M180+N($AF180)+N($AG180),0))</f>
        <v/>
      </c>
      <c r="Z180" s="38" t="str">
        <f aca="false">IF($C180="","",IF($T180="",INDEX(ИНФА!$M$5:$M$19,MATCH($C180,ИНФА!$I$5:$I$19,0)),0))</f>
        <v/>
      </c>
      <c r="AA180" s="38" t="str">
        <f aca="false">IF(OR($C180="",$T180=""),"",IF($V180&lt;&gt;"",$V180,INDEX(ИНФА!$N$5:$N$19,MATCH($C180,ИНФА!$I$5:$I$19,0))))</f>
        <v/>
      </c>
      <c r="AB180" s="37" t="str">
        <f aca="false">IF($C180="","",IF($T180&lt;&gt;"",IF($U180&lt;&gt;"","продано компании "&amp;$U180&amp;" в цикле "&amp;$T180,"продано Инфраструктуре в цикле "&amp;$T180),IF($D180&gt;=ИНФА!$F$5,"доход со следующего цикла","приносит доход")))</f>
        <v/>
      </c>
      <c r="AC180" s="47" t="str">
        <f aca="false">IF($C180="","",IF($F180="","",IF($E180="","укажите продавца; ",IF(OR($F180&lt;INDEX(ИНФА!$N$5:$N$19,MATCH($C180,ИНФА!$I$5:$I$19,0)),$F180&gt;INDEX(ИНФА!$M$5:$M$19,MATCH($C180,ИНФА!$I$5:$I$19,0))),"цена покупки вне коридора! ","")))&amp;IF($U180="","",IF(OR($V180="",$T180=""),"укажите цикл и цену продажи; ",IF(OR($V180&lt;INDEX(ИНФА!$N$5:$N$19,MATCH($C180,ИНФА!$I$5:$I$19,0)),$V180&gt;INDEX(ИНФА!$M$5:$M$19,MATCH($C180,ИНФА!$I$5:$I$19,0))),"цена продажи вне коридора! ","")))&amp;IF(AND($T180="",COUNTIFS($C$5:$C180,$C180,$T$5:$T180,"")&gt;INDEX(ИНФА!$Q$5:$Q$19,MATCH($C180,ИНФА!$I$5:$I$19,0))),"лотов нет! ","")&amp;IF(AND($E180&lt;&gt;"",$F180=""),"укажите цену сделки; ","")&amp;IF(AND(N($H180)&gt;0,OR($AD180="",$AD180="Профессия"),OR($H180&gt;ИНФА!$F$29,$I180&lt;INDEX(ИНФА!$N$5:$N$19,MATCH($C180,ИНФА!$I$5:$I$19,0))+ИНФА!$F$30)),"скидка больше лимита или цена ниже выкупа + 500! ","")&amp;IF($AE180="","",IF(IFERROR(INDEX($B$5:$B$204,MATCH($AE180,$A$5:$A$204,0))=$B180,TRUE()),"бизнес-пара — только со зданием другой компании; ",""))&amp;IF($Q180="","",IF(IFERROR(INDEX(НАУКА!$B$5:$B$44,MATCH($Q180,НАУКА!$A$5:$A$44,0))&lt;&gt;$B180,FALSE()),"патент другой компании — нужна лицензия или соглашение; ","")))</f>
        <v/>
      </c>
      <c r="AD180" s="44"/>
      <c r="AE180" s="44"/>
      <c r="AF180" s="38" t="str">
        <f aca="false">IF($C180="","",IF(AND($W180=1,OR($C180="Дом",$C180="Кафе")),ИНФА!$F$17*(COUNTIFS($B$5:$B180,$B180,$C$5:$C180,$C180,$W$5:$W180,1)&lt;=COUNTIFS($B$5:$B$204,$B180,$C$5:$C$204,"Парк",$W$5:$W$204,1)),0))</f>
        <v/>
      </c>
      <c r="AG180" s="38" t="str">
        <f aca="false">IF($C180="","",IF($W180=1,IF(OR(AND($AE180&lt;&gt;"",IFERROR(INDEX($W$5:$W$204,MATCH($AE180,$A$5:$A$204,0))=1,FALSE()),IFERROR(INDEX($B$5:$B$204,MATCH($AE180,$A$5:$A$204,0))&lt;&gt;$B180,FALSE())),COUNTIFS($AE$5:$AE$204,$A180,$W$5:$W$204,1,$B$5:$B$204,"&lt;&gt;"&amp;$B180)&gt;0),ИНФА!$F$31,0),0))</f>
        <v/>
      </c>
    </row>
    <row r="181" customFormat="false" ht="15" hidden="false" customHeight="false" outlineLevel="0" collapsed="false">
      <c r="A181" s="15" t="n">
        <v>177</v>
      </c>
      <c r="B181" s="44"/>
      <c r="C181" s="44"/>
      <c r="D181" s="44"/>
      <c r="E181" s="44"/>
      <c r="F181" s="43"/>
      <c r="G181" s="38" t="str">
        <f aca="false">IF($C181="","",IF($F181&lt;&gt;"",$F181,INDEX(ИНФА!$M$5:$M$19,MATCH($C181,ИНФА!$I$5:$I$19,0))))</f>
        <v/>
      </c>
      <c r="H181" s="43"/>
      <c r="I181" s="38" t="str">
        <f aca="false">IF($C181="","",G181-N(H181))</f>
        <v/>
      </c>
      <c r="J181" s="37" t="str">
        <f aca="false">IF($C181="","",INDEX(ИНФА!$J$5:$J$19,MATCH($C181,ИНФА!$I$5:$I$19,0)))</f>
        <v/>
      </c>
      <c r="K181" s="37" t="str">
        <f aca="false">IF($C181="","",INDEX(ИНФА!$K$5:$K$19,MATCH($C181,ИНФА!$I$5:$I$19,0)))</f>
        <v/>
      </c>
      <c r="L181" s="38" t="str">
        <f aca="false">IF($C181="","",INDEX(ИНФА!$O$5:$O$19,MATCH($C181,ИНФА!$I$5:$I$19,0)))</f>
        <v/>
      </c>
      <c r="M181" s="38" t="str">
        <f aca="false">IF($C181="","",INDEX(ИНФА!$P$5:$P$19,MATCH($C181,ИНФА!$I$5:$I$19,0)))</f>
        <v/>
      </c>
      <c r="N181" s="44"/>
      <c r="O181" s="48" t="n">
        <f aca="false">IF(OR($C181="",$N181=""),1,IF(AND($J181="Услуги",IFERROR(INDEX($C$5:$C$204,MATCH($N181,$A$5:$A$204,0))=INDEX(ИНФА!$L$5:$L$19,MATCH($C181,ИНФА!$I$5:$I$19,0)),FALSE()),IFERROR(INDEX($W$5:$W$204,MATCH($N181,$A$5:$A$204,0))=1,FALSE()),COUNTIF($N$5:$N181,$N181)&lt;=ИНФА!$F$16),1+ИНФА!$F$15,1))</f>
        <v>1</v>
      </c>
      <c r="P181" s="47" t="str">
        <f aca="false">IF($C181="","",IF($J181&lt;&gt;"Услуги","",IF($N181="","нет поставщика — нужен "&amp;INDEX(ИНФА!$L$5:$L$19,MATCH($C181,ИНФА!$I$5:$I$19,0)),IF($O181&gt;1,"✓ поставка работает (+50%)",IF(IFERROR(INDEX($C$5:$C$204,MATCH($N181,$A$5:$A$204,0))&lt;&gt;INDEX(ИНФА!$L$5:$L$19,MATCH($C181,ИНФА!$I$5:$I$19,0)),TRUE()),"не тот поставщик: нужен "&amp;INDEX(ИНФА!$L$5:$L$19,MATCH($C181,ИНФА!$I$5:$I$19,0)),IF(COUNTIF($N$5:$N181,$N181)&gt;ИНФА!$F$16,"поставщик перегружен","поставщик ещё не работает или продан"))))))</f>
        <v/>
      </c>
      <c r="Q181" s="44"/>
      <c r="R181" s="48" t="str">
        <f aca="false">IF($C181="","",IF($Q181="",1,IFERROR(INDEX(НАУКА!$K$5:$K$44,MATCH($Q181,НАУКА!$A$5:$A$44,0)),1)))</f>
        <v/>
      </c>
      <c r="S181" s="37" t="str">
        <f aca="false">IF($Q181="","",IFERROR(INDEX(НАУКА!$G$5:$G$44,MATCH($Q181,НАУКА!$A$5:$A$44,0)),""))</f>
        <v/>
      </c>
      <c r="T181" s="44"/>
      <c r="U181" s="44"/>
      <c r="V181" s="43"/>
      <c r="W181" s="37" t="n">
        <f aca="false">IF(OR($C181="",$D181=""),0,IF(AND($D181&lt;ИНФА!$F$5,OR($T181="",$T181&gt;=ИНФА!$F$5)),1,0))</f>
        <v>0</v>
      </c>
      <c r="X181" s="46" t="str">
        <f aca="false">IF($C181="","",INDEX(СОБЫТИЯ!$B$5:$K$8,MATCH($K181,СОБЫТИЯ!$A$5:$A$8,0),ИНФА!$F$5))</f>
        <v/>
      </c>
      <c r="Y181" s="42" t="str">
        <f aca="false">IF($C181="","",IF($W181=1,ROUND($L181*$O181*IF(AND($Q181&lt;&gt;"",$S181&lt;&gt;""),IF($S181&lt;ИНФА!$F$5,$R181,1),1)*$X181,0)-$M181+N($AF181)+N($AG181),0))</f>
        <v/>
      </c>
      <c r="Z181" s="38" t="str">
        <f aca="false">IF($C181="","",IF($T181="",INDEX(ИНФА!$M$5:$M$19,MATCH($C181,ИНФА!$I$5:$I$19,0)),0))</f>
        <v/>
      </c>
      <c r="AA181" s="38" t="str">
        <f aca="false">IF(OR($C181="",$T181=""),"",IF($V181&lt;&gt;"",$V181,INDEX(ИНФА!$N$5:$N$19,MATCH($C181,ИНФА!$I$5:$I$19,0))))</f>
        <v/>
      </c>
      <c r="AB181" s="37" t="str">
        <f aca="false">IF($C181="","",IF($T181&lt;&gt;"",IF($U181&lt;&gt;"","продано компании "&amp;$U181&amp;" в цикле "&amp;$T181,"продано Инфраструктуре в цикле "&amp;$T181),IF($D181&gt;=ИНФА!$F$5,"доход со следующего цикла","приносит доход")))</f>
        <v/>
      </c>
      <c r="AC181" s="47" t="str">
        <f aca="false">IF($C181="","",IF($F181="","",IF($E181="","укажите продавца; ",IF(OR($F181&lt;INDEX(ИНФА!$N$5:$N$19,MATCH($C181,ИНФА!$I$5:$I$19,0)),$F181&gt;INDEX(ИНФА!$M$5:$M$19,MATCH($C181,ИНФА!$I$5:$I$19,0))),"цена покупки вне коридора! ","")))&amp;IF($U181="","",IF(OR($V181="",$T181=""),"укажите цикл и цену продажи; ",IF(OR($V181&lt;INDEX(ИНФА!$N$5:$N$19,MATCH($C181,ИНФА!$I$5:$I$19,0)),$V181&gt;INDEX(ИНФА!$M$5:$M$19,MATCH($C181,ИНФА!$I$5:$I$19,0))),"цена продажи вне коридора! ","")))&amp;IF(AND($T181="",COUNTIFS($C$5:$C181,$C181,$T$5:$T181,"")&gt;INDEX(ИНФА!$Q$5:$Q$19,MATCH($C181,ИНФА!$I$5:$I$19,0))),"лотов нет! ","")&amp;IF(AND($E181&lt;&gt;"",$F181=""),"укажите цену сделки; ","")&amp;IF(AND(N($H181)&gt;0,OR($AD181="",$AD181="Профессия"),OR($H181&gt;ИНФА!$F$29,$I181&lt;INDEX(ИНФА!$N$5:$N$19,MATCH($C181,ИНФА!$I$5:$I$19,0))+ИНФА!$F$30)),"скидка больше лимита или цена ниже выкупа + 500! ","")&amp;IF($AE181="","",IF(IFERROR(INDEX($B$5:$B$204,MATCH($AE181,$A$5:$A$204,0))=$B181,TRUE()),"бизнес-пара — только со зданием другой компании; ",""))&amp;IF($Q181="","",IF(IFERROR(INDEX(НАУКА!$B$5:$B$44,MATCH($Q181,НАУКА!$A$5:$A$44,0))&lt;&gt;$B181,FALSE()),"патент другой компании — нужна лицензия или соглашение; ","")))</f>
        <v/>
      </c>
      <c r="AD181" s="44"/>
      <c r="AE181" s="44"/>
      <c r="AF181" s="38" t="str">
        <f aca="false">IF($C181="","",IF(AND($W181=1,OR($C181="Дом",$C181="Кафе")),ИНФА!$F$17*(COUNTIFS($B$5:$B181,$B181,$C$5:$C181,$C181,$W$5:$W181,1)&lt;=COUNTIFS($B$5:$B$204,$B181,$C$5:$C$204,"Парк",$W$5:$W$204,1)),0))</f>
        <v/>
      </c>
      <c r="AG181" s="38" t="str">
        <f aca="false">IF($C181="","",IF($W181=1,IF(OR(AND($AE181&lt;&gt;"",IFERROR(INDEX($W$5:$W$204,MATCH($AE181,$A$5:$A$204,0))=1,FALSE()),IFERROR(INDEX($B$5:$B$204,MATCH($AE181,$A$5:$A$204,0))&lt;&gt;$B181,FALSE())),COUNTIFS($AE$5:$AE$204,$A181,$W$5:$W$204,1,$B$5:$B$204,"&lt;&gt;"&amp;$B181)&gt;0),ИНФА!$F$31,0),0))</f>
        <v/>
      </c>
    </row>
    <row r="182" customFormat="false" ht="15" hidden="false" customHeight="false" outlineLevel="0" collapsed="false">
      <c r="A182" s="15" t="n">
        <v>178</v>
      </c>
      <c r="B182" s="44"/>
      <c r="C182" s="44"/>
      <c r="D182" s="44"/>
      <c r="E182" s="44"/>
      <c r="F182" s="43"/>
      <c r="G182" s="38" t="str">
        <f aca="false">IF($C182="","",IF($F182&lt;&gt;"",$F182,INDEX(ИНФА!$M$5:$M$19,MATCH($C182,ИНФА!$I$5:$I$19,0))))</f>
        <v/>
      </c>
      <c r="H182" s="43"/>
      <c r="I182" s="38" t="str">
        <f aca="false">IF($C182="","",G182-N(H182))</f>
        <v/>
      </c>
      <c r="J182" s="37" t="str">
        <f aca="false">IF($C182="","",INDEX(ИНФА!$J$5:$J$19,MATCH($C182,ИНФА!$I$5:$I$19,0)))</f>
        <v/>
      </c>
      <c r="K182" s="37" t="str">
        <f aca="false">IF($C182="","",INDEX(ИНФА!$K$5:$K$19,MATCH($C182,ИНФА!$I$5:$I$19,0)))</f>
        <v/>
      </c>
      <c r="L182" s="38" t="str">
        <f aca="false">IF($C182="","",INDEX(ИНФА!$O$5:$O$19,MATCH($C182,ИНФА!$I$5:$I$19,0)))</f>
        <v/>
      </c>
      <c r="M182" s="38" t="str">
        <f aca="false">IF($C182="","",INDEX(ИНФА!$P$5:$P$19,MATCH($C182,ИНФА!$I$5:$I$19,0)))</f>
        <v/>
      </c>
      <c r="N182" s="44"/>
      <c r="O182" s="48" t="n">
        <f aca="false">IF(OR($C182="",$N182=""),1,IF(AND($J182="Услуги",IFERROR(INDEX($C$5:$C$204,MATCH($N182,$A$5:$A$204,0))=INDEX(ИНФА!$L$5:$L$19,MATCH($C182,ИНФА!$I$5:$I$19,0)),FALSE()),IFERROR(INDEX($W$5:$W$204,MATCH($N182,$A$5:$A$204,0))=1,FALSE()),COUNTIF($N$5:$N182,$N182)&lt;=ИНФА!$F$16),1+ИНФА!$F$15,1))</f>
        <v>1</v>
      </c>
      <c r="P182" s="47" t="str">
        <f aca="false">IF($C182="","",IF($J182&lt;&gt;"Услуги","",IF($N182="","нет поставщика — нужен "&amp;INDEX(ИНФА!$L$5:$L$19,MATCH($C182,ИНФА!$I$5:$I$19,0)),IF($O182&gt;1,"✓ поставка работает (+50%)",IF(IFERROR(INDEX($C$5:$C$204,MATCH($N182,$A$5:$A$204,0))&lt;&gt;INDEX(ИНФА!$L$5:$L$19,MATCH($C182,ИНФА!$I$5:$I$19,0)),TRUE()),"не тот поставщик: нужен "&amp;INDEX(ИНФА!$L$5:$L$19,MATCH($C182,ИНФА!$I$5:$I$19,0)),IF(COUNTIF($N$5:$N182,$N182)&gt;ИНФА!$F$16,"поставщик перегружен","поставщик ещё не работает или продан"))))))</f>
        <v/>
      </c>
      <c r="Q182" s="44"/>
      <c r="R182" s="48" t="str">
        <f aca="false">IF($C182="","",IF($Q182="",1,IFERROR(INDEX(НАУКА!$K$5:$K$44,MATCH($Q182,НАУКА!$A$5:$A$44,0)),1)))</f>
        <v/>
      </c>
      <c r="S182" s="37" t="str">
        <f aca="false">IF($Q182="","",IFERROR(INDEX(НАУКА!$G$5:$G$44,MATCH($Q182,НАУКА!$A$5:$A$44,0)),""))</f>
        <v/>
      </c>
      <c r="T182" s="44"/>
      <c r="U182" s="44"/>
      <c r="V182" s="43"/>
      <c r="W182" s="37" t="n">
        <f aca="false">IF(OR($C182="",$D182=""),0,IF(AND($D182&lt;ИНФА!$F$5,OR($T182="",$T182&gt;=ИНФА!$F$5)),1,0))</f>
        <v>0</v>
      </c>
      <c r="X182" s="46" t="str">
        <f aca="false">IF($C182="","",INDEX(СОБЫТИЯ!$B$5:$K$8,MATCH($K182,СОБЫТИЯ!$A$5:$A$8,0),ИНФА!$F$5))</f>
        <v/>
      </c>
      <c r="Y182" s="42" t="str">
        <f aca="false">IF($C182="","",IF($W182=1,ROUND($L182*$O182*IF(AND($Q182&lt;&gt;"",$S182&lt;&gt;""),IF($S182&lt;ИНФА!$F$5,$R182,1),1)*$X182,0)-$M182+N($AF182)+N($AG182),0))</f>
        <v/>
      </c>
      <c r="Z182" s="38" t="str">
        <f aca="false">IF($C182="","",IF($T182="",INDEX(ИНФА!$M$5:$M$19,MATCH($C182,ИНФА!$I$5:$I$19,0)),0))</f>
        <v/>
      </c>
      <c r="AA182" s="38" t="str">
        <f aca="false">IF(OR($C182="",$T182=""),"",IF($V182&lt;&gt;"",$V182,INDEX(ИНФА!$N$5:$N$19,MATCH($C182,ИНФА!$I$5:$I$19,0))))</f>
        <v/>
      </c>
      <c r="AB182" s="37" t="str">
        <f aca="false">IF($C182="","",IF($T182&lt;&gt;"",IF($U182&lt;&gt;"","продано компании "&amp;$U182&amp;" в цикле "&amp;$T182,"продано Инфраструктуре в цикле "&amp;$T182),IF($D182&gt;=ИНФА!$F$5,"доход со следующего цикла","приносит доход")))</f>
        <v/>
      </c>
      <c r="AC182" s="47" t="str">
        <f aca="false">IF($C182="","",IF($F182="","",IF($E182="","укажите продавца; ",IF(OR($F182&lt;INDEX(ИНФА!$N$5:$N$19,MATCH($C182,ИНФА!$I$5:$I$19,0)),$F182&gt;INDEX(ИНФА!$M$5:$M$19,MATCH($C182,ИНФА!$I$5:$I$19,0))),"цена покупки вне коридора! ","")))&amp;IF($U182="","",IF(OR($V182="",$T182=""),"укажите цикл и цену продажи; ",IF(OR($V182&lt;INDEX(ИНФА!$N$5:$N$19,MATCH($C182,ИНФА!$I$5:$I$19,0)),$V182&gt;INDEX(ИНФА!$M$5:$M$19,MATCH($C182,ИНФА!$I$5:$I$19,0))),"цена продажи вне коридора! ","")))&amp;IF(AND($T182="",COUNTIFS($C$5:$C182,$C182,$T$5:$T182,"")&gt;INDEX(ИНФА!$Q$5:$Q$19,MATCH($C182,ИНФА!$I$5:$I$19,0))),"лотов нет! ","")&amp;IF(AND($E182&lt;&gt;"",$F182=""),"укажите цену сделки; ","")&amp;IF(AND(N($H182)&gt;0,OR($AD182="",$AD182="Профессия"),OR($H182&gt;ИНФА!$F$29,$I182&lt;INDEX(ИНФА!$N$5:$N$19,MATCH($C182,ИНФА!$I$5:$I$19,0))+ИНФА!$F$30)),"скидка больше лимита или цена ниже выкупа + 500! ","")&amp;IF($AE182="","",IF(IFERROR(INDEX($B$5:$B$204,MATCH($AE182,$A$5:$A$204,0))=$B182,TRUE()),"бизнес-пара — только со зданием другой компании; ",""))&amp;IF($Q182="","",IF(IFERROR(INDEX(НАУКА!$B$5:$B$44,MATCH($Q182,НАУКА!$A$5:$A$44,0))&lt;&gt;$B182,FALSE()),"патент другой компании — нужна лицензия или соглашение; ","")))</f>
        <v/>
      </c>
      <c r="AD182" s="44"/>
      <c r="AE182" s="44"/>
      <c r="AF182" s="38" t="str">
        <f aca="false">IF($C182="","",IF(AND($W182=1,OR($C182="Дом",$C182="Кафе")),ИНФА!$F$17*(COUNTIFS($B$5:$B182,$B182,$C$5:$C182,$C182,$W$5:$W182,1)&lt;=COUNTIFS($B$5:$B$204,$B182,$C$5:$C$204,"Парк",$W$5:$W$204,1)),0))</f>
        <v/>
      </c>
      <c r="AG182" s="38" t="str">
        <f aca="false">IF($C182="","",IF($W182=1,IF(OR(AND($AE182&lt;&gt;"",IFERROR(INDEX($W$5:$W$204,MATCH($AE182,$A$5:$A$204,0))=1,FALSE()),IFERROR(INDEX($B$5:$B$204,MATCH($AE182,$A$5:$A$204,0))&lt;&gt;$B182,FALSE())),COUNTIFS($AE$5:$AE$204,$A182,$W$5:$W$204,1,$B$5:$B$204,"&lt;&gt;"&amp;$B182)&gt;0),ИНФА!$F$31,0),0))</f>
        <v/>
      </c>
    </row>
    <row r="183" customFormat="false" ht="15" hidden="false" customHeight="false" outlineLevel="0" collapsed="false">
      <c r="A183" s="15" t="n">
        <v>179</v>
      </c>
      <c r="B183" s="44"/>
      <c r="C183" s="44"/>
      <c r="D183" s="44"/>
      <c r="E183" s="44"/>
      <c r="F183" s="43"/>
      <c r="G183" s="38" t="str">
        <f aca="false">IF($C183="","",IF($F183&lt;&gt;"",$F183,INDEX(ИНФА!$M$5:$M$19,MATCH($C183,ИНФА!$I$5:$I$19,0))))</f>
        <v/>
      </c>
      <c r="H183" s="43"/>
      <c r="I183" s="38" t="str">
        <f aca="false">IF($C183="","",G183-N(H183))</f>
        <v/>
      </c>
      <c r="J183" s="37" t="str">
        <f aca="false">IF($C183="","",INDEX(ИНФА!$J$5:$J$19,MATCH($C183,ИНФА!$I$5:$I$19,0)))</f>
        <v/>
      </c>
      <c r="K183" s="37" t="str">
        <f aca="false">IF($C183="","",INDEX(ИНФА!$K$5:$K$19,MATCH($C183,ИНФА!$I$5:$I$19,0)))</f>
        <v/>
      </c>
      <c r="L183" s="38" t="str">
        <f aca="false">IF($C183="","",INDEX(ИНФА!$O$5:$O$19,MATCH($C183,ИНФА!$I$5:$I$19,0)))</f>
        <v/>
      </c>
      <c r="M183" s="38" t="str">
        <f aca="false">IF($C183="","",INDEX(ИНФА!$P$5:$P$19,MATCH($C183,ИНФА!$I$5:$I$19,0)))</f>
        <v/>
      </c>
      <c r="N183" s="44"/>
      <c r="O183" s="48" t="n">
        <f aca="false">IF(OR($C183="",$N183=""),1,IF(AND($J183="Услуги",IFERROR(INDEX($C$5:$C$204,MATCH($N183,$A$5:$A$204,0))=INDEX(ИНФА!$L$5:$L$19,MATCH($C183,ИНФА!$I$5:$I$19,0)),FALSE()),IFERROR(INDEX($W$5:$W$204,MATCH($N183,$A$5:$A$204,0))=1,FALSE()),COUNTIF($N$5:$N183,$N183)&lt;=ИНФА!$F$16),1+ИНФА!$F$15,1))</f>
        <v>1</v>
      </c>
      <c r="P183" s="47" t="str">
        <f aca="false">IF($C183="","",IF($J183&lt;&gt;"Услуги","",IF($N183="","нет поставщика — нужен "&amp;INDEX(ИНФА!$L$5:$L$19,MATCH($C183,ИНФА!$I$5:$I$19,0)),IF($O183&gt;1,"✓ поставка работает (+50%)",IF(IFERROR(INDEX($C$5:$C$204,MATCH($N183,$A$5:$A$204,0))&lt;&gt;INDEX(ИНФА!$L$5:$L$19,MATCH($C183,ИНФА!$I$5:$I$19,0)),TRUE()),"не тот поставщик: нужен "&amp;INDEX(ИНФА!$L$5:$L$19,MATCH($C183,ИНФА!$I$5:$I$19,0)),IF(COUNTIF($N$5:$N183,$N183)&gt;ИНФА!$F$16,"поставщик перегружен","поставщик ещё не работает или продан"))))))</f>
        <v/>
      </c>
      <c r="Q183" s="44"/>
      <c r="R183" s="48" t="str">
        <f aca="false">IF($C183="","",IF($Q183="",1,IFERROR(INDEX(НАУКА!$K$5:$K$44,MATCH($Q183,НАУКА!$A$5:$A$44,0)),1)))</f>
        <v/>
      </c>
      <c r="S183" s="37" t="str">
        <f aca="false">IF($Q183="","",IFERROR(INDEX(НАУКА!$G$5:$G$44,MATCH($Q183,НАУКА!$A$5:$A$44,0)),""))</f>
        <v/>
      </c>
      <c r="T183" s="44"/>
      <c r="U183" s="44"/>
      <c r="V183" s="43"/>
      <c r="W183" s="37" t="n">
        <f aca="false">IF(OR($C183="",$D183=""),0,IF(AND($D183&lt;ИНФА!$F$5,OR($T183="",$T183&gt;=ИНФА!$F$5)),1,0))</f>
        <v>0</v>
      </c>
      <c r="X183" s="46" t="str">
        <f aca="false">IF($C183="","",INDEX(СОБЫТИЯ!$B$5:$K$8,MATCH($K183,СОБЫТИЯ!$A$5:$A$8,0),ИНФА!$F$5))</f>
        <v/>
      </c>
      <c r="Y183" s="42" t="str">
        <f aca="false">IF($C183="","",IF($W183=1,ROUND($L183*$O183*IF(AND($Q183&lt;&gt;"",$S183&lt;&gt;""),IF($S183&lt;ИНФА!$F$5,$R183,1),1)*$X183,0)-$M183+N($AF183)+N($AG183),0))</f>
        <v/>
      </c>
      <c r="Z183" s="38" t="str">
        <f aca="false">IF($C183="","",IF($T183="",INDEX(ИНФА!$M$5:$M$19,MATCH($C183,ИНФА!$I$5:$I$19,0)),0))</f>
        <v/>
      </c>
      <c r="AA183" s="38" t="str">
        <f aca="false">IF(OR($C183="",$T183=""),"",IF($V183&lt;&gt;"",$V183,INDEX(ИНФА!$N$5:$N$19,MATCH($C183,ИНФА!$I$5:$I$19,0))))</f>
        <v/>
      </c>
      <c r="AB183" s="37" t="str">
        <f aca="false">IF($C183="","",IF($T183&lt;&gt;"",IF($U183&lt;&gt;"","продано компании "&amp;$U183&amp;" в цикле "&amp;$T183,"продано Инфраструктуре в цикле "&amp;$T183),IF($D183&gt;=ИНФА!$F$5,"доход со следующего цикла","приносит доход")))</f>
        <v/>
      </c>
      <c r="AC183" s="47" t="str">
        <f aca="false">IF($C183="","",IF($F183="","",IF($E183="","укажите продавца; ",IF(OR($F183&lt;INDEX(ИНФА!$N$5:$N$19,MATCH($C183,ИНФА!$I$5:$I$19,0)),$F183&gt;INDEX(ИНФА!$M$5:$M$19,MATCH($C183,ИНФА!$I$5:$I$19,0))),"цена покупки вне коридора! ","")))&amp;IF($U183="","",IF(OR($V183="",$T183=""),"укажите цикл и цену продажи; ",IF(OR($V183&lt;INDEX(ИНФА!$N$5:$N$19,MATCH($C183,ИНФА!$I$5:$I$19,0)),$V183&gt;INDEX(ИНФА!$M$5:$M$19,MATCH($C183,ИНФА!$I$5:$I$19,0))),"цена продажи вне коридора! ","")))&amp;IF(AND($T183="",COUNTIFS($C$5:$C183,$C183,$T$5:$T183,"")&gt;INDEX(ИНФА!$Q$5:$Q$19,MATCH($C183,ИНФА!$I$5:$I$19,0))),"лотов нет! ","")&amp;IF(AND($E183&lt;&gt;"",$F183=""),"укажите цену сделки; ","")&amp;IF(AND(N($H183)&gt;0,OR($AD183="",$AD183="Профессия"),OR($H183&gt;ИНФА!$F$29,$I183&lt;INDEX(ИНФА!$N$5:$N$19,MATCH($C183,ИНФА!$I$5:$I$19,0))+ИНФА!$F$30)),"скидка больше лимита или цена ниже выкупа + 500! ","")&amp;IF($AE183="","",IF(IFERROR(INDEX($B$5:$B$204,MATCH($AE183,$A$5:$A$204,0))=$B183,TRUE()),"бизнес-пара — только со зданием другой компании; ",""))&amp;IF($Q183="","",IF(IFERROR(INDEX(НАУКА!$B$5:$B$44,MATCH($Q183,НАУКА!$A$5:$A$44,0))&lt;&gt;$B183,FALSE()),"патент другой компании — нужна лицензия или соглашение; ","")))</f>
        <v/>
      </c>
      <c r="AD183" s="44"/>
      <c r="AE183" s="44"/>
      <c r="AF183" s="38" t="str">
        <f aca="false">IF($C183="","",IF(AND($W183=1,OR($C183="Дом",$C183="Кафе")),ИНФА!$F$17*(COUNTIFS($B$5:$B183,$B183,$C$5:$C183,$C183,$W$5:$W183,1)&lt;=COUNTIFS($B$5:$B$204,$B183,$C$5:$C$204,"Парк",$W$5:$W$204,1)),0))</f>
        <v/>
      </c>
      <c r="AG183" s="38" t="str">
        <f aca="false">IF($C183="","",IF($W183=1,IF(OR(AND($AE183&lt;&gt;"",IFERROR(INDEX($W$5:$W$204,MATCH($AE183,$A$5:$A$204,0))=1,FALSE()),IFERROR(INDEX($B$5:$B$204,MATCH($AE183,$A$5:$A$204,0))&lt;&gt;$B183,FALSE())),COUNTIFS($AE$5:$AE$204,$A183,$W$5:$W$204,1,$B$5:$B$204,"&lt;&gt;"&amp;$B183)&gt;0),ИНФА!$F$31,0),0))</f>
        <v/>
      </c>
    </row>
    <row r="184" customFormat="false" ht="15" hidden="false" customHeight="false" outlineLevel="0" collapsed="false">
      <c r="A184" s="15" t="n">
        <v>180</v>
      </c>
      <c r="B184" s="44"/>
      <c r="C184" s="44"/>
      <c r="D184" s="44"/>
      <c r="E184" s="44"/>
      <c r="F184" s="43"/>
      <c r="G184" s="38" t="str">
        <f aca="false">IF($C184="","",IF($F184&lt;&gt;"",$F184,INDEX(ИНФА!$M$5:$M$19,MATCH($C184,ИНФА!$I$5:$I$19,0))))</f>
        <v/>
      </c>
      <c r="H184" s="43"/>
      <c r="I184" s="38" t="str">
        <f aca="false">IF($C184="","",G184-N(H184))</f>
        <v/>
      </c>
      <c r="J184" s="37" t="str">
        <f aca="false">IF($C184="","",INDEX(ИНФА!$J$5:$J$19,MATCH($C184,ИНФА!$I$5:$I$19,0)))</f>
        <v/>
      </c>
      <c r="K184" s="37" t="str">
        <f aca="false">IF($C184="","",INDEX(ИНФА!$K$5:$K$19,MATCH($C184,ИНФА!$I$5:$I$19,0)))</f>
        <v/>
      </c>
      <c r="L184" s="38" t="str">
        <f aca="false">IF($C184="","",INDEX(ИНФА!$O$5:$O$19,MATCH($C184,ИНФА!$I$5:$I$19,0)))</f>
        <v/>
      </c>
      <c r="M184" s="38" t="str">
        <f aca="false">IF($C184="","",INDEX(ИНФА!$P$5:$P$19,MATCH($C184,ИНФА!$I$5:$I$19,0)))</f>
        <v/>
      </c>
      <c r="N184" s="44"/>
      <c r="O184" s="48" t="n">
        <f aca="false">IF(OR($C184="",$N184=""),1,IF(AND($J184="Услуги",IFERROR(INDEX($C$5:$C$204,MATCH($N184,$A$5:$A$204,0))=INDEX(ИНФА!$L$5:$L$19,MATCH($C184,ИНФА!$I$5:$I$19,0)),FALSE()),IFERROR(INDEX($W$5:$W$204,MATCH($N184,$A$5:$A$204,0))=1,FALSE()),COUNTIF($N$5:$N184,$N184)&lt;=ИНФА!$F$16),1+ИНФА!$F$15,1))</f>
        <v>1</v>
      </c>
      <c r="P184" s="47" t="str">
        <f aca="false">IF($C184="","",IF($J184&lt;&gt;"Услуги","",IF($N184="","нет поставщика — нужен "&amp;INDEX(ИНФА!$L$5:$L$19,MATCH($C184,ИНФА!$I$5:$I$19,0)),IF($O184&gt;1,"✓ поставка работает (+50%)",IF(IFERROR(INDEX($C$5:$C$204,MATCH($N184,$A$5:$A$204,0))&lt;&gt;INDEX(ИНФА!$L$5:$L$19,MATCH($C184,ИНФА!$I$5:$I$19,0)),TRUE()),"не тот поставщик: нужен "&amp;INDEX(ИНФА!$L$5:$L$19,MATCH($C184,ИНФА!$I$5:$I$19,0)),IF(COUNTIF($N$5:$N184,$N184)&gt;ИНФА!$F$16,"поставщик перегружен","поставщик ещё не работает или продан"))))))</f>
        <v/>
      </c>
      <c r="Q184" s="44"/>
      <c r="R184" s="48" t="str">
        <f aca="false">IF($C184="","",IF($Q184="",1,IFERROR(INDEX(НАУКА!$K$5:$K$44,MATCH($Q184,НАУКА!$A$5:$A$44,0)),1)))</f>
        <v/>
      </c>
      <c r="S184" s="37" t="str">
        <f aca="false">IF($Q184="","",IFERROR(INDEX(НАУКА!$G$5:$G$44,MATCH($Q184,НАУКА!$A$5:$A$44,0)),""))</f>
        <v/>
      </c>
      <c r="T184" s="44"/>
      <c r="U184" s="44"/>
      <c r="V184" s="43"/>
      <c r="W184" s="37" t="n">
        <f aca="false">IF(OR($C184="",$D184=""),0,IF(AND($D184&lt;ИНФА!$F$5,OR($T184="",$T184&gt;=ИНФА!$F$5)),1,0))</f>
        <v>0</v>
      </c>
      <c r="X184" s="46" t="str">
        <f aca="false">IF($C184="","",INDEX(СОБЫТИЯ!$B$5:$K$8,MATCH($K184,СОБЫТИЯ!$A$5:$A$8,0),ИНФА!$F$5))</f>
        <v/>
      </c>
      <c r="Y184" s="42" t="str">
        <f aca="false">IF($C184="","",IF($W184=1,ROUND($L184*$O184*IF(AND($Q184&lt;&gt;"",$S184&lt;&gt;""),IF($S184&lt;ИНФА!$F$5,$R184,1),1)*$X184,0)-$M184+N($AF184)+N($AG184),0))</f>
        <v/>
      </c>
      <c r="Z184" s="38" t="str">
        <f aca="false">IF($C184="","",IF($T184="",INDEX(ИНФА!$M$5:$M$19,MATCH($C184,ИНФА!$I$5:$I$19,0)),0))</f>
        <v/>
      </c>
      <c r="AA184" s="38" t="str">
        <f aca="false">IF(OR($C184="",$T184=""),"",IF($V184&lt;&gt;"",$V184,INDEX(ИНФА!$N$5:$N$19,MATCH($C184,ИНФА!$I$5:$I$19,0))))</f>
        <v/>
      </c>
      <c r="AB184" s="37" t="str">
        <f aca="false">IF($C184="","",IF($T184&lt;&gt;"",IF($U184&lt;&gt;"","продано компании "&amp;$U184&amp;" в цикле "&amp;$T184,"продано Инфраструктуре в цикле "&amp;$T184),IF($D184&gt;=ИНФА!$F$5,"доход со следующего цикла","приносит доход")))</f>
        <v/>
      </c>
      <c r="AC184" s="47" t="str">
        <f aca="false">IF($C184="","",IF($F184="","",IF($E184="","укажите продавца; ",IF(OR($F184&lt;INDEX(ИНФА!$N$5:$N$19,MATCH($C184,ИНФА!$I$5:$I$19,0)),$F184&gt;INDEX(ИНФА!$M$5:$M$19,MATCH($C184,ИНФА!$I$5:$I$19,0))),"цена покупки вне коридора! ","")))&amp;IF($U184="","",IF(OR($V184="",$T184=""),"укажите цикл и цену продажи; ",IF(OR($V184&lt;INDEX(ИНФА!$N$5:$N$19,MATCH($C184,ИНФА!$I$5:$I$19,0)),$V184&gt;INDEX(ИНФА!$M$5:$M$19,MATCH($C184,ИНФА!$I$5:$I$19,0))),"цена продажи вне коридора! ","")))&amp;IF(AND($T184="",COUNTIFS($C$5:$C184,$C184,$T$5:$T184,"")&gt;INDEX(ИНФА!$Q$5:$Q$19,MATCH($C184,ИНФА!$I$5:$I$19,0))),"лотов нет! ","")&amp;IF(AND($E184&lt;&gt;"",$F184=""),"укажите цену сделки; ","")&amp;IF(AND(N($H184)&gt;0,OR($AD184="",$AD184="Профессия"),OR($H184&gt;ИНФА!$F$29,$I184&lt;INDEX(ИНФА!$N$5:$N$19,MATCH($C184,ИНФА!$I$5:$I$19,0))+ИНФА!$F$30)),"скидка больше лимита или цена ниже выкупа + 500! ","")&amp;IF($AE184="","",IF(IFERROR(INDEX($B$5:$B$204,MATCH($AE184,$A$5:$A$204,0))=$B184,TRUE()),"бизнес-пара — только со зданием другой компании; ",""))&amp;IF($Q184="","",IF(IFERROR(INDEX(НАУКА!$B$5:$B$44,MATCH($Q184,НАУКА!$A$5:$A$44,0))&lt;&gt;$B184,FALSE()),"патент другой компании — нужна лицензия или соглашение; ","")))</f>
        <v/>
      </c>
      <c r="AD184" s="44"/>
      <c r="AE184" s="44"/>
      <c r="AF184" s="38" t="str">
        <f aca="false">IF($C184="","",IF(AND($W184=1,OR($C184="Дом",$C184="Кафе")),ИНФА!$F$17*(COUNTIFS($B$5:$B184,$B184,$C$5:$C184,$C184,$W$5:$W184,1)&lt;=COUNTIFS($B$5:$B$204,$B184,$C$5:$C$204,"Парк",$W$5:$W$204,1)),0))</f>
        <v/>
      </c>
      <c r="AG184" s="38" t="str">
        <f aca="false">IF($C184="","",IF($W184=1,IF(OR(AND($AE184&lt;&gt;"",IFERROR(INDEX($W$5:$W$204,MATCH($AE184,$A$5:$A$204,0))=1,FALSE()),IFERROR(INDEX($B$5:$B$204,MATCH($AE184,$A$5:$A$204,0))&lt;&gt;$B184,FALSE())),COUNTIFS($AE$5:$AE$204,$A184,$W$5:$W$204,1,$B$5:$B$204,"&lt;&gt;"&amp;$B184)&gt;0),ИНФА!$F$31,0),0))</f>
        <v/>
      </c>
    </row>
    <row r="185" customFormat="false" ht="15" hidden="false" customHeight="false" outlineLevel="0" collapsed="false">
      <c r="A185" s="15" t="n">
        <v>181</v>
      </c>
      <c r="B185" s="44"/>
      <c r="C185" s="44"/>
      <c r="D185" s="44"/>
      <c r="E185" s="44"/>
      <c r="F185" s="43"/>
      <c r="G185" s="38" t="str">
        <f aca="false">IF($C185="","",IF($F185&lt;&gt;"",$F185,INDEX(ИНФА!$M$5:$M$19,MATCH($C185,ИНФА!$I$5:$I$19,0))))</f>
        <v/>
      </c>
      <c r="H185" s="43"/>
      <c r="I185" s="38" t="str">
        <f aca="false">IF($C185="","",G185-N(H185))</f>
        <v/>
      </c>
      <c r="J185" s="37" t="str">
        <f aca="false">IF($C185="","",INDEX(ИНФА!$J$5:$J$19,MATCH($C185,ИНФА!$I$5:$I$19,0)))</f>
        <v/>
      </c>
      <c r="K185" s="37" t="str">
        <f aca="false">IF($C185="","",INDEX(ИНФА!$K$5:$K$19,MATCH($C185,ИНФА!$I$5:$I$19,0)))</f>
        <v/>
      </c>
      <c r="L185" s="38" t="str">
        <f aca="false">IF($C185="","",INDEX(ИНФА!$O$5:$O$19,MATCH($C185,ИНФА!$I$5:$I$19,0)))</f>
        <v/>
      </c>
      <c r="M185" s="38" t="str">
        <f aca="false">IF($C185="","",INDEX(ИНФА!$P$5:$P$19,MATCH($C185,ИНФА!$I$5:$I$19,0)))</f>
        <v/>
      </c>
      <c r="N185" s="44"/>
      <c r="O185" s="48" t="n">
        <f aca="false">IF(OR($C185="",$N185=""),1,IF(AND($J185="Услуги",IFERROR(INDEX($C$5:$C$204,MATCH($N185,$A$5:$A$204,0))=INDEX(ИНФА!$L$5:$L$19,MATCH($C185,ИНФА!$I$5:$I$19,0)),FALSE()),IFERROR(INDEX($W$5:$W$204,MATCH($N185,$A$5:$A$204,0))=1,FALSE()),COUNTIF($N$5:$N185,$N185)&lt;=ИНФА!$F$16),1+ИНФА!$F$15,1))</f>
        <v>1</v>
      </c>
      <c r="P185" s="47" t="str">
        <f aca="false">IF($C185="","",IF($J185&lt;&gt;"Услуги","",IF($N185="","нет поставщика — нужен "&amp;INDEX(ИНФА!$L$5:$L$19,MATCH($C185,ИНФА!$I$5:$I$19,0)),IF($O185&gt;1,"✓ поставка работает (+50%)",IF(IFERROR(INDEX($C$5:$C$204,MATCH($N185,$A$5:$A$204,0))&lt;&gt;INDEX(ИНФА!$L$5:$L$19,MATCH($C185,ИНФА!$I$5:$I$19,0)),TRUE()),"не тот поставщик: нужен "&amp;INDEX(ИНФА!$L$5:$L$19,MATCH($C185,ИНФА!$I$5:$I$19,0)),IF(COUNTIF($N$5:$N185,$N185)&gt;ИНФА!$F$16,"поставщик перегружен","поставщик ещё не работает или продан"))))))</f>
        <v/>
      </c>
      <c r="Q185" s="44"/>
      <c r="R185" s="48" t="str">
        <f aca="false">IF($C185="","",IF($Q185="",1,IFERROR(INDEX(НАУКА!$K$5:$K$44,MATCH($Q185,НАУКА!$A$5:$A$44,0)),1)))</f>
        <v/>
      </c>
      <c r="S185" s="37" t="str">
        <f aca="false">IF($Q185="","",IFERROR(INDEX(НАУКА!$G$5:$G$44,MATCH($Q185,НАУКА!$A$5:$A$44,0)),""))</f>
        <v/>
      </c>
      <c r="T185" s="44"/>
      <c r="U185" s="44"/>
      <c r="V185" s="43"/>
      <c r="W185" s="37" t="n">
        <f aca="false">IF(OR($C185="",$D185=""),0,IF(AND($D185&lt;ИНФА!$F$5,OR($T185="",$T185&gt;=ИНФА!$F$5)),1,0))</f>
        <v>0</v>
      </c>
      <c r="X185" s="46" t="str">
        <f aca="false">IF($C185="","",INDEX(СОБЫТИЯ!$B$5:$K$8,MATCH($K185,СОБЫТИЯ!$A$5:$A$8,0),ИНФА!$F$5))</f>
        <v/>
      </c>
      <c r="Y185" s="42" t="str">
        <f aca="false">IF($C185="","",IF($W185=1,ROUND($L185*$O185*IF(AND($Q185&lt;&gt;"",$S185&lt;&gt;""),IF($S185&lt;ИНФА!$F$5,$R185,1),1)*$X185,0)-$M185+N($AF185)+N($AG185),0))</f>
        <v/>
      </c>
      <c r="Z185" s="38" t="str">
        <f aca="false">IF($C185="","",IF($T185="",INDEX(ИНФА!$M$5:$M$19,MATCH($C185,ИНФА!$I$5:$I$19,0)),0))</f>
        <v/>
      </c>
      <c r="AA185" s="38" t="str">
        <f aca="false">IF(OR($C185="",$T185=""),"",IF($V185&lt;&gt;"",$V185,INDEX(ИНФА!$N$5:$N$19,MATCH($C185,ИНФА!$I$5:$I$19,0))))</f>
        <v/>
      </c>
      <c r="AB185" s="37" t="str">
        <f aca="false">IF($C185="","",IF($T185&lt;&gt;"",IF($U185&lt;&gt;"","продано компании "&amp;$U185&amp;" в цикле "&amp;$T185,"продано Инфраструктуре в цикле "&amp;$T185),IF($D185&gt;=ИНФА!$F$5,"доход со следующего цикла","приносит доход")))</f>
        <v/>
      </c>
      <c r="AC185" s="47" t="str">
        <f aca="false">IF($C185="","",IF($F185="","",IF($E185="","укажите продавца; ",IF(OR($F185&lt;INDEX(ИНФА!$N$5:$N$19,MATCH($C185,ИНФА!$I$5:$I$19,0)),$F185&gt;INDEX(ИНФА!$M$5:$M$19,MATCH($C185,ИНФА!$I$5:$I$19,0))),"цена покупки вне коридора! ","")))&amp;IF($U185="","",IF(OR($V185="",$T185=""),"укажите цикл и цену продажи; ",IF(OR($V185&lt;INDEX(ИНФА!$N$5:$N$19,MATCH($C185,ИНФА!$I$5:$I$19,0)),$V185&gt;INDEX(ИНФА!$M$5:$M$19,MATCH($C185,ИНФА!$I$5:$I$19,0))),"цена продажи вне коридора! ","")))&amp;IF(AND($T185="",COUNTIFS($C$5:$C185,$C185,$T$5:$T185,"")&gt;INDEX(ИНФА!$Q$5:$Q$19,MATCH($C185,ИНФА!$I$5:$I$19,0))),"лотов нет! ","")&amp;IF(AND($E185&lt;&gt;"",$F185=""),"укажите цену сделки; ","")&amp;IF(AND(N($H185)&gt;0,OR($AD185="",$AD185="Профессия"),OR($H185&gt;ИНФА!$F$29,$I185&lt;INDEX(ИНФА!$N$5:$N$19,MATCH($C185,ИНФА!$I$5:$I$19,0))+ИНФА!$F$30)),"скидка больше лимита или цена ниже выкупа + 500! ","")&amp;IF($AE185="","",IF(IFERROR(INDEX($B$5:$B$204,MATCH($AE185,$A$5:$A$204,0))=$B185,TRUE()),"бизнес-пара — только со зданием другой компании; ",""))&amp;IF($Q185="","",IF(IFERROR(INDEX(НАУКА!$B$5:$B$44,MATCH($Q185,НАУКА!$A$5:$A$44,0))&lt;&gt;$B185,FALSE()),"патент другой компании — нужна лицензия или соглашение; ","")))</f>
        <v/>
      </c>
      <c r="AD185" s="44"/>
      <c r="AE185" s="44"/>
      <c r="AF185" s="38" t="str">
        <f aca="false">IF($C185="","",IF(AND($W185=1,OR($C185="Дом",$C185="Кафе")),ИНФА!$F$17*(COUNTIFS($B$5:$B185,$B185,$C$5:$C185,$C185,$W$5:$W185,1)&lt;=COUNTIFS($B$5:$B$204,$B185,$C$5:$C$204,"Парк",$W$5:$W$204,1)),0))</f>
        <v/>
      </c>
      <c r="AG185" s="38" t="str">
        <f aca="false">IF($C185="","",IF($W185=1,IF(OR(AND($AE185&lt;&gt;"",IFERROR(INDEX($W$5:$W$204,MATCH($AE185,$A$5:$A$204,0))=1,FALSE()),IFERROR(INDEX($B$5:$B$204,MATCH($AE185,$A$5:$A$204,0))&lt;&gt;$B185,FALSE())),COUNTIFS($AE$5:$AE$204,$A185,$W$5:$W$204,1,$B$5:$B$204,"&lt;&gt;"&amp;$B185)&gt;0),ИНФА!$F$31,0),0))</f>
        <v/>
      </c>
    </row>
    <row r="186" customFormat="false" ht="15" hidden="false" customHeight="false" outlineLevel="0" collapsed="false">
      <c r="A186" s="15" t="n">
        <v>182</v>
      </c>
      <c r="B186" s="44"/>
      <c r="C186" s="44"/>
      <c r="D186" s="44"/>
      <c r="E186" s="44"/>
      <c r="F186" s="43"/>
      <c r="G186" s="38" t="str">
        <f aca="false">IF($C186="","",IF($F186&lt;&gt;"",$F186,INDEX(ИНФА!$M$5:$M$19,MATCH($C186,ИНФА!$I$5:$I$19,0))))</f>
        <v/>
      </c>
      <c r="H186" s="43"/>
      <c r="I186" s="38" t="str">
        <f aca="false">IF($C186="","",G186-N(H186))</f>
        <v/>
      </c>
      <c r="J186" s="37" t="str">
        <f aca="false">IF($C186="","",INDEX(ИНФА!$J$5:$J$19,MATCH($C186,ИНФА!$I$5:$I$19,0)))</f>
        <v/>
      </c>
      <c r="K186" s="37" t="str">
        <f aca="false">IF($C186="","",INDEX(ИНФА!$K$5:$K$19,MATCH($C186,ИНФА!$I$5:$I$19,0)))</f>
        <v/>
      </c>
      <c r="L186" s="38" t="str">
        <f aca="false">IF($C186="","",INDEX(ИНФА!$O$5:$O$19,MATCH($C186,ИНФА!$I$5:$I$19,0)))</f>
        <v/>
      </c>
      <c r="M186" s="38" t="str">
        <f aca="false">IF($C186="","",INDEX(ИНФА!$P$5:$P$19,MATCH($C186,ИНФА!$I$5:$I$19,0)))</f>
        <v/>
      </c>
      <c r="N186" s="44"/>
      <c r="O186" s="48" t="n">
        <f aca="false">IF(OR($C186="",$N186=""),1,IF(AND($J186="Услуги",IFERROR(INDEX($C$5:$C$204,MATCH($N186,$A$5:$A$204,0))=INDEX(ИНФА!$L$5:$L$19,MATCH($C186,ИНФА!$I$5:$I$19,0)),FALSE()),IFERROR(INDEX($W$5:$W$204,MATCH($N186,$A$5:$A$204,0))=1,FALSE()),COUNTIF($N$5:$N186,$N186)&lt;=ИНФА!$F$16),1+ИНФА!$F$15,1))</f>
        <v>1</v>
      </c>
      <c r="P186" s="47" t="str">
        <f aca="false">IF($C186="","",IF($J186&lt;&gt;"Услуги","",IF($N186="","нет поставщика — нужен "&amp;INDEX(ИНФА!$L$5:$L$19,MATCH($C186,ИНФА!$I$5:$I$19,0)),IF($O186&gt;1,"✓ поставка работает (+50%)",IF(IFERROR(INDEX($C$5:$C$204,MATCH($N186,$A$5:$A$204,0))&lt;&gt;INDEX(ИНФА!$L$5:$L$19,MATCH($C186,ИНФА!$I$5:$I$19,0)),TRUE()),"не тот поставщик: нужен "&amp;INDEX(ИНФА!$L$5:$L$19,MATCH($C186,ИНФА!$I$5:$I$19,0)),IF(COUNTIF($N$5:$N186,$N186)&gt;ИНФА!$F$16,"поставщик перегружен","поставщик ещё не работает или продан"))))))</f>
        <v/>
      </c>
      <c r="Q186" s="44"/>
      <c r="R186" s="48" t="str">
        <f aca="false">IF($C186="","",IF($Q186="",1,IFERROR(INDEX(НАУКА!$K$5:$K$44,MATCH($Q186,НАУКА!$A$5:$A$44,0)),1)))</f>
        <v/>
      </c>
      <c r="S186" s="37" t="str">
        <f aca="false">IF($Q186="","",IFERROR(INDEX(НАУКА!$G$5:$G$44,MATCH($Q186,НАУКА!$A$5:$A$44,0)),""))</f>
        <v/>
      </c>
      <c r="T186" s="44"/>
      <c r="U186" s="44"/>
      <c r="V186" s="43"/>
      <c r="W186" s="37" t="n">
        <f aca="false">IF(OR($C186="",$D186=""),0,IF(AND($D186&lt;ИНФА!$F$5,OR($T186="",$T186&gt;=ИНФА!$F$5)),1,0))</f>
        <v>0</v>
      </c>
      <c r="X186" s="46" t="str">
        <f aca="false">IF($C186="","",INDEX(СОБЫТИЯ!$B$5:$K$8,MATCH($K186,СОБЫТИЯ!$A$5:$A$8,0),ИНФА!$F$5))</f>
        <v/>
      </c>
      <c r="Y186" s="42" t="str">
        <f aca="false">IF($C186="","",IF($W186=1,ROUND($L186*$O186*IF(AND($Q186&lt;&gt;"",$S186&lt;&gt;""),IF($S186&lt;ИНФА!$F$5,$R186,1),1)*$X186,0)-$M186+N($AF186)+N($AG186),0))</f>
        <v/>
      </c>
      <c r="Z186" s="38" t="str">
        <f aca="false">IF($C186="","",IF($T186="",INDEX(ИНФА!$M$5:$M$19,MATCH($C186,ИНФА!$I$5:$I$19,0)),0))</f>
        <v/>
      </c>
      <c r="AA186" s="38" t="str">
        <f aca="false">IF(OR($C186="",$T186=""),"",IF($V186&lt;&gt;"",$V186,INDEX(ИНФА!$N$5:$N$19,MATCH($C186,ИНФА!$I$5:$I$19,0))))</f>
        <v/>
      </c>
      <c r="AB186" s="37" t="str">
        <f aca="false">IF($C186="","",IF($T186&lt;&gt;"",IF($U186&lt;&gt;"","продано компании "&amp;$U186&amp;" в цикле "&amp;$T186,"продано Инфраструктуре в цикле "&amp;$T186),IF($D186&gt;=ИНФА!$F$5,"доход со следующего цикла","приносит доход")))</f>
        <v/>
      </c>
      <c r="AC186" s="47" t="str">
        <f aca="false">IF($C186="","",IF($F186="","",IF($E186="","укажите продавца; ",IF(OR($F186&lt;INDEX(ИНФА!$N$5:$N$19,MATCH($C186,ИНФА!$I$5:$I$19,0)),$F186&gt;INDEX(ИНФА!$M$5:$M$19,MATCH($C186,ИНФА!$I$5:$I$19,0))),"цена покупки вне коридора! ","")))&amp;IF($U186="","",IF(OR($V186="",$T186=""),"укажите цикл и цену продажи; ",IF(OR($V186&lt;INDEX(ИНФА!$N$5:$N$19,MATCH($C186,ИНФА!$I$5:$I$19,0)),$V186&gt;INDEX(ИНФА!$M$5:$M$19,MATCH($C186,ИНФА!$I$5:$I$19,0))),"цена продажи вне коридора! ","")))&amp;IF(AND($T186="",COUNTIFS($C$5:$C186,$C186,$T$5:$T186,"")&gt;INDEX(ИНФА!$Q$5:$Q$19,MATCH($C186,ИНФА!$I$5:$I$19,0))),"лотов нет! ","")&amp;IF(AND($E186&lt;&gt;"",$F186=""),"укажите цену сделки; ","")&amp;IF(AND(N($H186)&gt;0,OR($AD186="",$AD186="Профессия"),OR($H186&gt;ИНФА!$F$29,$I186&lt;INDEX(ИНФА!$N$5:$N$19,MATCH($C186,ИНФА!$I$5:$I$19,0))+ИНФА!$F$30)),"скидка больше лимита или цена ниже выкупа + 500! ","")&amp;IF($AE186="","",IF(IFERROR(INDEX($B$5:$B$204,MATCH($AE186,$A$5:$A$204,0))=$B186,TRUE()),"бизнес-пара — только со зданием другой компании; ",""))&amp;IF($Q186="","",IF(IFERROR(INDEX(НАУКА!$B$5:$B$44,MATCH($Q186,НАУКА!$A$5:$A$44,0))&lt;&gt;$B186,FALSE()),"патент другой компании — нужна лицензия или соглашение; ","")))</f>
        <v/>
      </c>
      <c r="AD186" s="44"/>
      <c r="AE186" s="44"/>
      <c r="AF186" s="38" t="str">
        <f aca="false">IF($C186="","",IF(AND($W186=1,OR($C186="Дом",$C186="Кафе")),ИНФА!$F$17*(COUNTIFS($B$5:$B186,$B186,$C$5:$C186,$C186,$W$5:$W186,1)&lt;=COUNTIFS($B$5:$B$204,$B186,$C$5:$C$204,"Парк",$W$5:$W$204,1)),0))</f>
        <v/>
      </c>
      <c r="AG186" s="38" t="str">
        <f aca="false">IF($C186="","",IF($W186=1,IF(OR(AND($AE186&lt;&gt;"",IFERROR(INDEX($W$5:$W$204,MATCH($AE186,$A$5:$A$204,0))=1,FALSE()),IFERROR(INDEX($B$5:$B$204,MATCH($AE186,$A$5:$A$204,0))&lt;&gt;$B186,FALSE())),COUNTIFS($AE$5:$AE$204,$A186,$W$5:$W$204,1,$B$5:$B$204,"&lt;&gt;"&amp;$B186)&gt;0),ИНФА!$F$31,0),0))</f>
        <v/>
      </c>
    </row>
    <row r="187" customFormat="false" ht="15" hidden="false" customHeight="false" outlineLevel="0" collapsed="false">
      <c r="A187" s="15" t="n">
        <v>183</v>
      </c>
      <c r="B187" s="44"/>
      <c r="C187" s="44"/>
      <c r="D187" s="44"/>
      <c r="E187" s="44"/>
      <c r="F187" s="43"/>
      <c r="G187" s="38" t="str">
        <f aca="false">IF($C187="","",IF($F187&lt;&gt;"",$F187,INDEX(ИНФА!$M$5:$M$19,MATCH($C187,ИНФА!$I$5:$I$19,0))))</f>
        <v/>
      </c>
      <c r="H187" s="43"/>
      <c r="I187" s="38" t="str">
        <f aca="false">IF($C187="","",G187-N(H187))</f>
        <v/>
      </c>
      <c r="J187" s="37" t="str">
        <f aca="false">IF($C187="","",INDEX(ИНФА!$J$5:$J$19,MATCH($C187,ИНФА!$I$5:$I$19,0)))</f>
        <v/>
      </c>
      <c r="K187" s="37" t="str">
        <f aca="false">IF($C187="","",INDEX(ИНФА!$K$5:$K$19,MATCH($C187,ИНФА!$I$5:$I$19,0)))</f>
        <v/>
      </c>
      <c r="L187" s="38" t="str">
        <f aca="false">IF($C187="","",INDEX(ИНФА!$O$5:$O$19,MATCH($C187,ИНФА!$I$5:$I$19,0)))</f>
        <v/>
      </c>
      <c r="M187" s="38" t="str">
        <f aca="false">IF($C187="","",INDEX(ИНФА!$P$5:$P$19,MATCH($C187,ИНФА!$I$5:$I$19,0)))</f>
        <v/>
      </c>
      <c r="N187" s="44"/>
      <c r="O187" s="48" t="n">
        <f aca="false">IF(OR($C187="",$N187=""),1,IF(AND($J187="Услуги",IFERROR(INDEX($C$5:$C$204,MATCH($N187,$A$5:$A$204,0))=INDEX(ИНФА!$L$5:$L$19,MATCH($C187,ИНФА!$I$5:$I$19,0)),FALSE()),IFERROR(INDEX($W$5:$W$204,MATCH($N187,$A$5:$A$204,0))=1,FALSE()),COUNTIF($N$5:$N187,$N187)&lt;=ИНФА!$F$16),1+ИНФА!$F$15,1))</f>
        <v>1</v>
      </c>
      <c r="P187" s="47" t="str">
        <f aca="false">IF($C187="","",IF($J187&lt;&gt;"Услуги","",IF($N187="","нет поставщика — нужен "&amp;INDEX(ИНФА!$L$5:$L$19,MATCH($C187,ИНФА!$I$5:$I$19,0)),IF($O187&gt;1,"✓ поставка работает (+50%)",IF(IFERROR(INDEX($C$5:$C$204,MATCH($N187,$A$5:$A$204,0))&lt;&gt;INDEX(ИНФА!$L$5:$L$19,MATCH($C187,ИНФА!$I$5:$I$19,0)),TRUE()),"не тот поставщик: нужен "&amp;INDEX(ИНФА!$L$5:$L$19,MATCH($C187,ИНФА!$I$5:$I$19,0)),IF(COUNTIF($N$5:$N187,$N187)&gt;ИНФА!$F$16,"поставщик перегружен","поставщик ещё не работает или продан"))))))</f>
        <v/>
      </c>
      <c r="Q187" s="44"/>
      <c r="R187" s="48" t="str">
        <f aca="false">IF($C187="","",IF($Q187="",1,IFERROR(INDEX(НАУКА!$K$5:$K$44,MATCH($Q187,НАУКА!$A$5:$A$44,0)),1)))</f>
        <v/>
      </c>
      <c r="S187" s="37" t="str">
        <f aca="false">IF($Q187="","",IFERROR(INDEX(НАУКА!$G$5:$G$44,MATCH($Q187,НАУКА!$A$5:$A$44,0)),""))</f>
        <v/>
      </c>
      <c r="T187" s="44"/>
      <c r="U187" s="44"/>
      <c r="V187" s="43"/>
      <c r="W187" s="37" t="n">
        <f aca="false">IF(OR($C187="",$D187=""),0,IF(AND($D187&lt;ИНФА!$F$5,OR($T187="",$T187&gt;=ИНФА!$F$5)),1,0))</f>
        <v>0</v>
      </c>
      <c r="X187" s="46" t="str">
        <f aca="false">IF($C187="","",INDEX(СОБЫТИЯ!$B$5:$K$8,MATCH($K187,СОБЫТИЯ!$A$5:$A$8,0),ИНФА!$F$5))</f>
        <v/>
      </c>
      <c r="Y187" s="42" t="str">
        <f aca="false">IF($C187="","",IF($W187=1,ROUND($L187*$O187*IF(AND($Q187&lt;&gt;"",$S187&lt;&gt;""),IF($S187&lt;ИНФА!$F$5,$R187,1),1)*$X187,0)-$M187+N($AF187)+N($AG187),0))</f>
        <v/>
      </c>
      <c r="Z187" s="38" t="str">
        <f aca="false">IF($C187="","",IF($T187="",INDEX(ИНФА!$M$5:$M$19,MATCH($C187,ИНФА!$I$5:$I$19,0)),0))</f>
        <v/>
      </c>
      <c r="AA187" s="38" t="str">
        <f aca="false">IF(OR($C187="",$T187=""),"",IF($V187&lt;&gt;"",$V187,INDEX(ИНФА!$N$5:$N$19,MATCH($C187,ИНФА!$I$5:$I$19,0))))</f>
        <v/>
      </c>
      <c r="AB187" s="37" t="str">
        <f aca="false">IF($C187="","",IF($T187&lt;&gt;"",IF($U187&lt;&gt;"","продано компании "&amp;$U187&amp;" в цикле "&amp;$T187,"продано Инфраструктуре в цикле "&amp;$T187),IF($D187&gt;=ИНФА!$F$5,"доход со следующего цикла","приносит доход")))</f>
        <v/>
      </c>
      <c r="AC187" s="47" t="str">
        <f aca="false">IF($C187="","",IF($F187="","",IF($E187="","укажите продавца; ",IF(OR($F187&lt;INDEX(ИНФА!$N$5:$N$19,MATCH($C187,ИНФА!$I$5:$I$19,0)),$F187&gt;INDEX(ИНФА!$M$5:$M$19,MATCH($C187,ИНФА!$I$5:$I$19,0))),"цена покупки вне коридора! ","")))&amp;IF($U187="","",IF(OR($V187="",$T187=""),"укажите цикл и цену продажи; ",IF(OR($V187&lt;INDEX(ИНФА!$N$5:$N$19,MATCH($C187,ИНФА!$I$5:$I$19,0)),$V187&gt;INDEX(ИНФА!$M$5:$M$19,MATCH($C187,ИНФА!$I$5:$I$19,0))),"цена продажи вне коридора! ","")))&amp;IF(AND($T187="",COUNTIFS($C$5:$C187,$C187,$T$5:$T187,"")&gt;INDEX(ИНФА!$Q$5:$Q$19,MATCH($C187,ИНФА!$I$5:$I$19,0))),"лотов нет! ","")&amp;IF(AND($E187&lt;&gt;"",$F187=""),"укажите цену сделки; ","")&amp;IF(AND(N($H187)&gt;0,OR($AD187="",$AD187="Профессия"),OR($H187&gt;ИНФА!$F$29,$I187&lt;INDEX(ИНФА!$N$5:$N$19,MATCH($C187,ИНФА!$I$5:$I$19,0))+ИНФА!$F$30)),"скидка больше лимита или цена ниже выкупа + 500! ","")&amp;IF($AE187="","",IF(IFERROR(INDEX($B$5:$B$204,MATCH($AE187,$A$5:$A$204,0))=$B187,TRUE()),"бизнес-пара — только со зданием другой компании; ",""))&amp;IF($Q187="","",IF(IFERROR(INDEX(НАУКА!$B$5:$B$44,MATCH($Q187,НАУКА!$A$5:$A$44,0))&lt;&gt;$B187,FALSE()),"патент другой компании — нужна лицензия или соглашение; ","")))</f>
        <v/>
      </c>
      <c r="AD187" s="44"/>
      <c r="AE187" s="44"/>
      <c r="AF187" s="38" t="str">
        <f aca="false">IF($C187="","",IF(AND($W187=1,OR($C187="Дом",$C187="Кафе")),ИНФА!$F$17*(COUNTIFS($B$5:$B187,$B187,$C$5:$C187,$C187,$W$5:$W187,1)&lt;=COUNTIFS($B$5:$B$204,$B187,$C$5:$C$204,"Парк",$W$5:$W$204,1)),0))</f>
        <v/>
      </c>
      <c r="AG187" s="38" t="str">
        <f aca="false">IF($C187="","",IF($W187=1,IF(OR(AND($AE187&lt;&gt;"",IFERROR(INDEX($W$5:$W$204,MATCH($AE187,$A$5:$A$204,0))=1,FALSE()),IFERROR(INDEX($B$5:$B$204,MATCH($AE187,$A$5:$A$204,0))&lt;&gt;$B187,FALSE())),COUNTIFS($AE$5:$AE$204,$A187,$W$5:$W$204,1,$B$5:$B$204,"&lt;&gt;"&amp;$B187)&gt;0),ИНФА!$F$31,0),0))</f>
        <v/>
      </c>
    </row>
    <row r="188" customFormat="false" ht="15" hidden="false" customHeight="false" outlineLevel="0" collapsed="false">
      <c r="A188" s="15" t="n">
        <v>184</v>
      </c>
      <c r="B188" s="44"/>
      <c r="C188" s="44"/>
      <c r="D188" s="44"/>
      <c r="E188" s="44"/>
      <c r="F188" s="43"/>
      <c r="G188" s="38" t="str">
        <f aca="false">IF($C188="","",IF($F188&lt;&gt;"",$F188,INDEX(ИНФА!$M$5:$M$19,MATCH($C188,ИНФА!$I$5:$I$19,0))))</f>
        <v/>
      </c>
      <c r="H188" s="43"/>
      <c r="I188" s="38" t="str">
        <f aca="false">IF($C188="","",G188-N(H188))</f>
        <v/>
      </c>
      <c r="J188" s="37" t="str">
        <f aca="false">IF($C188="","",INDEX(ИНФА!$J$5:$J$19,MATCH($C188,ИНФА!$I$5:$I$19,0)))</f>
        <v/>
      </c>
      <c r="K188" s="37" t="str">
        <f aca="false">IF($C188="","",INDEX(ИНФА!$K$5:$K$19,MATCH($C188,ИНФА!$I$5:$I$19,0)))</f>
        <v/>
      </c>
      <c r="L188" s="38" t="str">
        <f aca="false">IF($C188="","",INDEX(ИНФА!$O$5:$O$19,MATCH($C188,ИНФА!$I$5:$I$19,0)))</f>
        <v/>
      </c>
      <c r="M188" s="38" t="str">
        <f aca="false">IF($C188="","",INDEX(ИНФА!$P$5:$P$19,MATCH($C188,ИНФА!$I$5:$I$19,0)))</f>
        <v/>
      </c>
      <c r="N188" s="44"/>
      <c r="O188" s="48" t="n">
        <f aca="false">IF(OR($C188="",$N188=""),1,IF(AND($J188="Услуги",IFERROR(INDEX($C$5:$C$204,MATCH($N188,$A$5:$A$204,0))=INDEX(ИНФА!$L$5:$L$19,MATCH($C188,ИНФА!$I$5:$I$19,0)),FALSE()),IFERROR(INDEX($W$5:$W$204,MATCH($N188,$A$5:$A$204,0))=1,FALSE()),COUNTIF($N$5:$N188,$N188)&lt;=ИНФА!$F$16),1+ИНФА!$F$15,1))</f>
        <v>1</v>
      </c>
      <c r="P188" s="47" t="str">
        <f aca="false">IF($C188="","",IF($J188&lt;&gt;"Услуги","",IF($N188="","нет поставщика — нужен "&amp;INDEX(ИНФА!$L$5:$L$19,MATCH($C188,ИНФА!$I$5:$I$19,0)),IF($O188&gt;1,"✓ поставка работает (+50%)",IF(IFERROR(INDEX($C$5:$C$204,MATCH($N188,$A$5:$A$204,0))&lt;&gt;INDEX(ИНФА!$L$5:$L$19,MATCH($C188,ИНФА!$I$5:$I$19,0)),TRUE()),"не тот поставщик: нужен "&amp;INDEX(ИНФА!$L$5:$L$19,MATCH($C188,ИНФА!$I$5:$I$19,0)),IF(COUNTIF($N$5:$N188,$N188)&gt;ИНФА!$F$16,"поставщик перегружен","поставщик ещё не работает или продан"))))))</f>
        <v/>
      </c>
      <c r="Q188" s="44"/>
      <c r="R188" s="48" t="str">
        <f aca="false">IF($C188="","",IF($Q188="",1,IFERROR(INDEX(НАУКА!$K$5:$K$44,MATCH($Q188,НАУКА!$A$5:$A$44,0)),1)))</f>
        <v/>
      </c>
      <c r="S188" s="37" t="str">
        <f aca="false">IF($Q188="","",IFERROR(INDEX(НАУКА!$G$5:$G$44,MATCH($Q188,НАУКА!$A$5:$A$44,0)),""))</f>
        <v/>
      </c>
      <c r="T188" s="44"/>
      <c r="U188" s="44"/>
      <c r="V188" s="43"/>
      <c r="W188" s="37" t="n">
        <f aca="false">IF(OR($C188="",$D188=""),0,IF(AND($D188&lt;ИНФА!$F$5,OR($T188="",$T188&gt;=ИНФА!$F$5)),1,0))</f>
        <v>0</v>
      </c>
      <c r="X188" s="46" t="str">
        <f aca="false">IF($C188="","",INDEX(СОБЫТИЯ!$B$5:$K$8,MATCH($K188,СОБЫТИЯ!$A$5:$A$8,0),ИНФА!$F$5))</f>
        <v/>
      </c>
      <c r="Y188" s="42" t="str">
        <f aca="false">IF($C188="","",IF($W188=1,ROUND($L188*$O188*IF(AND($Q188&lt;&gt;"",$S188&lt;&gt;""),IF($S188&lt;ИНФА!$F$5,$R188,1),1)*$X188,0)-$M188+N($AF188)+N($AG188),0))</f>
        <v/>
      </c>
      <c r="Z188" s="38" t="str">
        <f aca="false">IF($C188="","",IF($T188="",INDEX(ИНФА!$M$5:$M$19,MATCH($C188,ИНФА!$I$5:$I$19,0)),0))</f>
        <v/>
      </c>
      <c r="AA188" s="38" t="str">
        <f aca="false">IF(OR($C188="",$T188=""),"",IF($V188&lt;&gt;"",$V188,INDEX(ИНФА!$N$5:$N$19,MATCH($C188,ИНФА!$I$5:$I$19,0))))</f>
        <v/>
      </c>
      <c r="AB188" s="37" t="str">
        <f aca="false">IF($C188="","",IF($T188&lt;&gt;"",IF($U188&lt;&gt;"","продано компании "&amp;$U188&amp;" в цикле "&amp;$T188,"продано Инфраструктуре в цикле "&amp;$T188),IF($D188&gt;=ИНФА!$F$5,"доход со следующего цикла","приносит доход")))</f>
        <v/>
      </c>
      <c r="AC188" s="47" t="str">
        <f aca="false">IF($C188="","",IF($F188="","",IF($E188="","укажите продавца; ",IF(OR($F188&lt;INDEX(ИНФА!$N$5:$N$19,MATCH($C188,ИНФА!$I$5:$I$19,0)),$F188&gt;INDEX(ИНФА!$M$5:$M$19,MATCH($C188,ИНФА!$I$5:$I$19,0))),"цена покупки вне коридора! ","")))&amp;IF($U188="","",IF(OR($V188="",$T188=""),"укажите цикл и цену продажи; ",IF(OR($V188&lt;INDEX(ИНФА!$N$5:$N$19,MATCH($C188,ИНФА!$I$5:$I$19,0)),$V188&gt;INDEX(ИНФА!$M$5:$M$19,MATCH($C188,ИНФА!$I$5:$I$19,0))),"цена продажи вне коридора! ","")))&amp;IF(AND($T188="",COUNTIFS($C$5:$C188,$C188,$T$5:$T188,"")&gt;INDEX(ИНФА!$Q$5:$Q$19,MATCH($C188,ИНФА!$I$5:$I$19,0))),"лотов нет! ","")&amp;IF(AND($E188&lt;&gt;"",$F188=""),"укажите цену сделки; ","")&amp;IF(AND(N($H188)&gt;0,OR($AD188="",$AD188="Профессия"),OR($H188&gt;ИНФА!$F$29,$I188&lt;INDEX(ИНФА!$N$5:$N$19,MATCH($C188,ИНФА!$I$5:$I$19,0))+ИНФА!$F$30)),"скидка больше лимита или цена ниже выкупа + 500! ","")&amp;IF($AE188="","",IF(IFERROR(INDEX($B$5:$B$204,MATCH($AE188,$A$5:$A$204,0))=$B188,TRUE()),"бизнес-пара — только со зданием другой компании; ",""))&amp;IF($Q188="","",IF(IFERROR(INDEX(НАУКА!$B$5:$B$44,MATCH($Q188,НАУКА!$A$5:$A$44,0))&lt;&gt;$B188,FALSE()),"патент другой компании — нужна лицензия или соглашение; ","")))</f>
        <v/>
      </c>
      <c r="AD188" s="44"/>
      <c r="AE188" s="44"/>
      <c r="AF188" s="38" t="str">
        <f aca="false">IF($C188="","",IF(AND($W188=1,OR($C188="Дом",$C188="Кафе")),ИНФА!$F$17*(COUNTIFS($B$5:$B188,$B188,$C$5:$C188,$C188,$W$5:$W188,1)&lt;=COUNTIFS($B$5:$B$204,$B188,$C$5:$C$204,"Парк",$W$5:$W$204,1)),0))</f>
        <v/>
      </c>
      <c r="AG188" s="38" t="str">
        <f aca="false">IF($C188="","",IF($W188=1,IF(OR(AND($AE188&lt;&gt;"",IFERROR(INDEX($W$5:$W$204,MATCH($AE188,$A$5:$A$204,0))=1,FALSE()),IFERROR(INDEX($B$5:$B$204,MATCH($AE188,$A$5:$A$204,0))&lt;&gt;$B188,FALSE())),COUNTIFS($AE$5:$AE$204,$A188,$W$5:$W$204,1,$B$5:$B$204,"&lt;&gt;"&amp;$B188)&gt;0),ИНФА!$F$31,0),0))</f>
        <v/>
      </c>
    </row>
    <row r="189" customFormat="false" ht="15" hidden="false" customHeight="false" outlineLevel="0" collapsed="false">
      <c r="A189" s="15" t="n">
        <v>185</v>
      </c>
      <c r="B189" s="44"/>
      <c r="C189" s="44"/>
      <c r="D189" s="44"/>
      <c r="E189" s="44"/>
      <c r="F189" s="43"/>
      <c r="G189" s="38" t="str">
        <f aca="false">IF($C189="","",IF($F189&lt;&gt;"",$F189,INDEX(ИНФА!$M$5:$M$19,MATCH($C189,ИНФА!$I$5:$I$19,0))))</f>
        <v/>
      </c>
      <c r="H189" s="43"/>
      <c r="I189" s="38" t="str">
        <f aca="false">IF($C189="","",G189-N(H189))</f>
        <v/>
      </c>
      <c r="J189" s="37" t="str">
        <f aca="false">IF($C189="","",INDEX(ИНФА!$J$5:$J$19,MATCH($C189,ИНФА!$I$5:$I$19,0)))</f>
        <v/>
      </c>
      <c r="K189" s="37" t="str">
        <f aca="false">IF($C189="","",INDEX(ИНФА!$K$5:$K$19,MATCH($C189,ИНФА!$I$5:$I$19,0)))</f>
        <v/>
      </c>
      <c r="L189" s="38" t="str">
        <f aca="false">IF($C189="","",INDEX(ИНФА!$O$5:$O$19,MATCH($C189,ИНФА!$I$5:$I$19,0)))</f>
        <v/>
      </c>
      <c r="M189" s="38" t="str">
        <f aca="false">IF($C189="","",INDEX(ИНФА!$P$5:$P$19,MATCH($C189,ИНФА!$I$5:$I$19,0)))</f>
        <v/>
      </c>
      <c r="N189" s="44"/>
      <c r="O189" s="48" t="n">
        <f aca="false">IF(OR($C189="",$N189=""),1,IF(AND($J189="Услуги",IFERROR(INDEX($C$5:$C$204,MATCH($N189,$A$5:$A$204,0))=INDEX(ИНФА!$L$5:$L$19,MATCH($C189,ИНФА!$I$5:$I$19,0)),FALSE()),IFERROR(INDEX($W$5:$W$204,MATCH($N189,$A$5:$A$204,0))=1,FALSE()),COUNTIF($N$5:$N189,$N189)&lt;=ИНФА!$F$16),1+ИНФА!$F$15,1))</f>
        <v>1</v>
      </c>
      <c r="P189" s="47" t="str">
        <f aca="false">IF($C189="","",IF($J189&lt;&gt;"Услуги","",IF($N189="","нет поставщика — нужен "&amp;INDEX(ИНФА!$L$5:$L$19,MATCH($C189,ИНФА!$I$5:$I$19,0)),IF($O189&gt;1,"✓ поставка работает (+50%)",IF(IFERROR(INDEX($C$5:$C$204,MATCH($N189,$A$5:$A$204,0))&lt;&gt;INDEX(ИНФА!$L$5:$L$19,MATCH($C189,ИНФА!$I$5:$I$19,0)),TRUE()),"не тот поставщик: нужен "&amp;INDEX(ИНФА!$L$5:$L$19,MATCH($C189,ИНФА!$I$5:$I$19,0)),IF(COUNTIF($N$5:$N189,$N189)&gt;ИНФА!$F$16,"поставщик перегружен","поставщик ещё не работает или продан"))))))</f>
        <v/>
      </c>
      <c r="Q189" s="44"/>
      <c r="R189" s="48" t="str">
        <f aca="false">IF($C189="","",IF($Q189="",1,IFERROR(INDEX(НАУКА!$K$5:$K$44,MATCH($Q189,НАУКА!$A$5:$A$44,0)),1)))</f>
        <v/>
      </c>
      <c r="S189" s="37" t="str">
        <f aca="false">IF($Q189="","",IFERROR(INDEX(НАУКА!$G$5:$G$44,MATCH($Q189,НАУКА!$A$5:$A$44,0)),""))</f>
        <v/>
      </c>
      <c r="T189" s="44"/>
      <c r="U189" s="44"/>
      <c r="V189" s="43"/>
      <c r="W189" s="37" t="n">
        <f aca="false">IF(OR($C189="",$D189=""),0,IF(AND($D189&lt;ИНФА!$F$5,OR($T189="",$T189&gt;=ИНФА!$F$5)),1,0))</f>
        <v>0</v>
      </c>
      <c r="X189" s="46" t="str">
        <f aca="false">IF($C189="","",INDEX(СОБЫТИЯ!$B$5:$K$8,MATCH($K189,СОБЫТИЯ!$A$5:$A$8,0),ИНФА!$F$5))</f>
        <v/>
      </c>
      <c r="Y189" s="42" t="str">
        <f aca="false">IF($C189="","",IF($W189=1,ROUND($L189*$O189*IF(AND($Q189&lt;&gt;"",$S189&lt;&gt;""),IF($S189&lt;ИНФА!$F$5,$R189,1),1)*$X189,0)-$M189+N($AF189)+N($AG189),0))</f>
        <v/>
      </c>
      <c r="Z189" s="38" t="str">
        <f aca="false">IF($C189="","",IF($T189="",INDEX(ИНФА!$M$5:$M$19,MATCH($C189,ИНФА!$I$5:$I$19,0)),0))</f>
        <v/>
      </c>
      <c r="AA189" s="38" t="str">
        <f aca="false">IF(OR($C189="",$T189=""),"",IF($V189&lt;&gt;"",$V189,INDEX(ИНФА!$N$5:$N$19,MATCH($C189,ИНФА!$I$5:$I$19,0))))</f>
        <v/>
      </c>
      <c r="AB189" s="37" t="str">
        <f aca="false">IF($C189="","",IF($T189&lt;&gt;"",IF($U189&lt;&gt;"","продано компании "&amp;$U189&amp;" в цикле "&amp;$T189,"продано Инфраструктуре в цикле "&amp;$T189),IF($D189&gt;=ИНФА!$F$5,"доход со следующего цикла","приносит доход")))</f>
        <v/>
      </c>
      <c r="AC189" s="47" t="str">
        <f aca="false">IF($C189="","",IF($F189="","",IF($E189="","укажите продавца; ",IF(OR($F189&lt;INDEX(ИНФА!$N$5:$N$19,MATCH($C189,ИНФА!$I$5:$I$19,0)),$F189&gt;INDEX(ИНФА!$M$5:$M$19,MATCH($C189,ИНФА!$I$5:$I$19,0))),"цена покупки вне коридора! ","")))&amp;IF($U189="","",IF(OR($V189="",$T189=""),"укажите цикл и цену продажи; ",IF(OR($V189&lt;INDEX(ИНФА!$N$5:$N$19,MATCH($C189,ИНФА!$I$5:$I$19,0)),$V189&gt;INDEX(ИНФА!$M$5:$M$19,MATCH($C189,ИНФА!$I$5:$I$19,0))),"цена продажи вне коридора! ","")))&amp;IF(AND($T189="",COUNTIFS($C$5:$C189,$C189,$T$5:$T189,"")&gt;INDEX(ИНФА!$Q$5:$Q$19,MATCH($C189,ИНФА!$I$5:$I$19,0))),"лотов нет! ","")&amp;IF(AND($E189&lt;&gt;"",$F189=""),"укажите цену сделки; ","")&amp;IF(AND(N($H189)&gt;0,OR($AD189="",$AD189="Профессия"),OR($H189&gt;ИНФА!$F$29,$I189&lt;INDEX(ИНФА!$N$5:$N$19,MATCH($C189,ИНФА!$I$5:$I$19,0))+ИНФА!$F$30)),"скидка больше лимита или цена ниже выкупа + 500! ","")&amp;IF($AE189="","",IF(IFERROR(INDEX($B$5:$B$204,MATCH($AE189,$A$5:$A$204,0))=$B189,TRUE()),"бизнес-пара — только со зданием другой компании; ",""))&amp;IF($Q189="","",IF(IFERROR(INDEX(НАУКА!$B$5:$B$44,MATCH($Q189,НАУКА!$A$5:$A$44,0))&lt;&gt;$B189,FALSE()),"патент другой компании — нужна лицензия или соглашение; ","")))</f>
        <v/>
      </c>
      <c r="AD189" s="44"/>
      <c r="AE189" s="44"/>
      <c r="AF189" s="38" t="str">
        <f aca="false">IF($C189="","",IF(AND($W189=1,OR($C189="Дом",$C189="Кафе")),ИНФА!$F$17*(COUNTIFS($B$5:$B189,$B189,$C$5:$C189,$C189,$W$5:$W189,1)&lt;=COUNTIFS($B$5:$B$204,$B189,$C$5:$C$204,"Парк",$W$5:$W$204,1)),0))</f>
        <v/>
      </c>
      <c r="AG189" s="38" t="str">
        <f aca="false">IF($C189="","",IF($W189=1,IF(OR(AND($AE189&lt;&gt;"",IFERROR(INDEX($W$5:$W$204,MATCH($AE189,$A$5:$A$204,0))=1,FALSE()),IFERROR(INDEX($B$5:$B$204,MATCH($AE189,$A$5:$A$204,0))&lt;&gt;$B189,FALSE())),COUNTIFS($AE$5:$AE$204,$A189,$W$5:$W$204,1,$B$5:$B$204,"&lt;&gt;"&amp;$B189)&gt;0),ИНФА!$F$31,0),0))</f>
        <v/>
      </c>
    </row>
    <row r="190" customFormat="false" ht="15" hidden="false" customHeight="false" outlineLevel="0" collapsed="false">
      <c r="A190" s="15" t="n">
        <v>186</v>
      </c>
      <c r="B190" s="44"/>
      <c r="C190" s="44"/>
      <c r="D190" s="44"/>
      <c r="E190" s="44"/>
      <c r="F190" s="43"/>
      <c r="G190" s="38" t="str">
        <f aca="false">IF($C190="","",IF($F190&lt;&gt;"",$F190,INDEX(ИНФА!$M$5:$M$19,MATCH($C190,ИНФА!$I$5:$I$19,0))))</f>
        <v/>
      </c>
      <c r="H190" s="43"/>
      <c r="I190" s="38" t="str">
        <f aca="false">IF($C190="","",G190-N(H190))</f>
        <v/>
      </c>
      <c r="J190" s="37" t="str">
        <f aca="false">IF($C190="","",INDEX(ИНФА!$J$5:$J$19,MATCH($C190,ИНФА!$I$5:$I$19,0)))</f>
        <v/>
      </c>
      <c r="K190" s="37" t="str">
        <f aca="false">IF($C190="","",INDEX(ИНФА!$K$5:$K$19,MATCH($C190,ИНФА!$I$5:$I$19,0)))</f>
        <v/>
      </c>
      <c r="L190" s="38" t="str">
        <f aca="false">IF($C190="","",INDEX(ИНФА!$O$5:$O$19,MATCH($C190,ИНФА!$I$5:$I$19,0)))</f>
        <v/>
      </c>
      <c r="M190" s="38" t="str">
        <f aca="false">IF($C190="","",INDEX(ИНФА!$P$5:$P$19,MATCH($C190,ИНФА!$I$5:$I$19,0)))</f>
        <v/>
      </c>
      <c r="N190" s="44"/>
      <c r="O190" s="48" t="n">
        <f aca="false">IF(OR($C190="",$N190=""),1,IF(AND($J190="Услуги",IFERROR(INDEX($C$5:$C$204,MATCH($N190,$A$5:$A$204,0))=INDEX(ИНФА!$L$5:$L$19,MATCH($C190,ИНФА!$I$5:$I$19,0)),FALSE()),IFERROR(INDEX($W$5:$W$204,MATCH($N190,$A$5:$A$204,0))=1,FALSE()),COUNTIF($N$5:$N190,$N190)&lt;=ИНФА!$F$16),1+ИНФА!$F$15,1))</f>
        <v>1</v>
      </c>
      <c r="P190" s="47" t="str">
        <f aca="false">IF($C190="","",IF($J190&lt;&gt;"Услуги","",IF($N190="","нет поставщика — нужен "&amp;INDEX(ИНФА!$L$5:$L$19,MATCH($C190,ИНФА!$I$5:$I$19,0)),IF($O190&gt;1,"✓ поставка работает (+50%)",IF(IFERROR(INDEX($C$5:$C$204,MATCH($N190,$A$5:$A$204,0))&lt;&gt;INDEX(ИНФА!$L$5:$L$19,MATCH($C190,ИНФА!$I$5:$I$19,0)),TRUE()),"не тот поставщик: нужен "&amp;INDEX(ИНФА!$L$5:$L$19,MATCH($C190,ИНФА!$I$5:$I$19,0)),IF(COUNTIF($N$5:$N190,$N190)&gt;ИНФА!$F$16,"поставщик перегружен","поставщик ещё не работает или продан"))))))</f>
        <v/>
      </c>
      <c r="Q190" s="44"/>
      <c r="R190" s="48" t="str">
        <f aca="false">IF($C190="","",IF($Q190="",1,IFERROR(INDEX(НАУКА!$K$5:$K$44,MATCH($Q190,НАУКА!$A$5:$A$44,0)),1)))</f>
        <v/>
      </c>
      <c r="S190" s="37" t="str">
        <f aca="false">IF($Q190="","",IFERROR(INDEX(НАУКА!$G$5:$G$44,MATCH($Q190,НАУКА!$A$5:$A$44,0)),""))</f>
        <v/>
      </c>
      <c r="T190" s="44"/>
      <c r="U190" s="44"/>
      <c r="V190" s="43"/>
      <c r="W190" s="37" t="n">
        <f aca="false">IF(OR($C190="",$D190=""),0,IF(AND($D190&lt;ИНФА!$F$5,OR($T190="",$T190&gt;=ИНФА!$F$5)),1,0))</f>
        <v>0</v>
      </c>
      <c r="X190" s="46" t="str">
        <f aca="false">IF($C190="","",INDEX(СОБЫТИЯ!$B$5:$K$8,MATCH($K190,СОБЫТИЯ!$A$5:$A$8,0),ИНФА!$F$5))</f>
        <v/>
      </c>
      <c r="Y190" s="42" t="str">
        <f aca="false">IF($C190="","",IF($W190=1,ROUND($L190*$O190*IF(AND($Q190&lt;&gt;"",$S190&lt;&gt;""),IF($S190&lt;ИНФА!$F$5,$R190,1),1)*$X190,0)-$M190+N($AF190)+N($AG190),0))</f>
        <v/>
      </c>
      <c r="Z190" s="38" t="str">
        <f aca="false">IF($C190="","",IF($T190="",INDEX(ИНФА!$M$5:$M$19,MATCH($C190,ИНФА!$I$5:$I$19,0)),0))</f>
        <v/>
      </c>
      <c r="AA190" s="38" t="str">
        <f aca="false">IF(OR($C190="",$T190=""),"",IF($V190&lt;&gt;"",$V190,INDEX(ИНФА!$N$5:$N$19,MATCH($C190,ИНФА!$I$5:$I$19,0))))</f>
        <v/>
      </c>
      <c r="AB190" s="37" t="str">
        <f aca="false">IF($C190="","",IF($T190&lt;&gt;"",IF($U190&lt;&gt;"","продано компании "&amp;$U190&amp;" в цикле "&amp;$T190,"продано Инфраструктуре в цикле "&amp;$T190),IF($D190&gt;=ИНФА!$F$5,"доход со следующего цикла","приносит доход")))</f>
        <v/>
      </c>
      <c r="AC190" s="47" t="str">
        <f aca="false">IF($C190="","",IF($F190="","",IF($E190="","укажите продавца; ",IF(OR($F190&lt;INDEX(ИНФА!$N$5:$N$19,MATCH($C190,ИНФА!$I$5:$I$19,0)),$F190&gt;INDEX(ИНФА!$M$5:$M$19,MATCH($C190,ИНФА!$I$5:$I$19,0))),"цена покупки вне коридора! ","")))&amp;IF($U190="","",IF(OR($V190="",$T190=""),"укажите цикл и цену продажи; ",IF(OR($V190&lt;INDEX(ИНФА!$N$5:$N$19,MATCH($C190,ИНФА!$I$5:$I$19,0)),$V190&gt;INDEX(ИНФА!$M$5:$M$19,MATCH($C190,ИНФА!$I$5:$I$19,0))),"цена продажи вне коридора! ","")))&amp;IF(AND($T190="",COUNTIFS($C$5:$C190,$C190,$T$5:$T190,"")&gt;INDEX(ИНФА!$Q$5:$Q$19,MATCH($C190,ИНФА!$I$5:$I$19,0))),"лотов нет! ","")&amp;IF(AND($E190&lt;&gt;"",$F190=""),"укажите цену сделки; ","")&amp;IF(AND(N($H190)&gt;0,OR($AD190="",$AD190="Профессия"),OR($H190&gt;ИНФА!$F$29,$I190&lt;INDEX(ИНФА!$N$5:$N$19,MATCH($C190,ИНФА!$I$5:$I$19,0))+ИНФА!$F$30)),"скидка больше лимита или цена ниже выкупа + 500! ","")&amp;IF($AE190="","",IF(IFERROR(INDEX($B$5:$B$204,MATCH($AE190,$A$5:$A$204,0))=$B190,TRUE()),"бизнес-пара — только со зданием другой компании; ",""))&amp;IF($Q190="","",IF(IFERROR(INDEX(НАУКА!$B$5:$B$44,MATCH($Q190,НАУКА!$A$5:$A$44,0))&lt;&gt;$B190,FALSE()),"патент другой компании — нужна лицензия или соглашение; ","")))</f>
        <v/>
      </c>
      <c r="AD190" s="44"/>
      <c r="AE190" s="44"/>
      <c r="AF190" s="38" t="str">
        <f aca="false">IF($C190="","",IF(AND($W190=1,OR($C190="Дом",$C190="Кафе")),ИНФА!$F$17*(COUNTIFS($B$5:$B190,$B190,$C$5:$C190,$C190,$W$5:$W190,1)&lt;=COUNTIFS($B$5:$B$204,$B190,$C$5:$C$204,"Парк",$W$5:$W$204,1)),0))</f>
        <v/>
      </c>
      <c r="AG190" s="38" t="str">
        <f aca="false">IF($C190="","",IF($W190=1,IF(OR(AND($AE190&lt;&gt;"",IFERROR(INDEX($W$5:$W$204,MATCH($AE190,$A$5:$A$204,0))=1,FALSE()),IFERROR(INDEX($B$5:$B$204,MATCH($AE190,$A$5:$A$204,0))&lt;&gt;$B190,FALSE())),COUNTIFS($AE$5:$AE$204,$A190,$W$5:$W$204,1,$B$5:$B$204,"&lt;&gt;"&amp;$B190)&gt;0),ИНФА!$F$31,0),0))</f>
        <v/>
      </c>
    </row>
    <row r="191" customFormat="false" ht="15" hidden="false" customHeight="false" outlineLevel="0" collapsed="false">
      <c r="A191" s="15" t="n">
        <v>187</v>
      </c>
      <c r="B191" s="44"/>
      <c r="C191" s="44"/>
      <c r="D191" s="44"/>
      <c r="E191" s="44"/>
      <c r="F191" s="43"/>
      <c r="G191" s="38" t="str">
        <f aca="false">IF($C191="","",IF($F191&lt;&gt;"",$F191,INDEX(ИНФА!$M$5:$M$19,MATCH($C191,ИНФА!$I$5:$I$19,0))))</f>
        <v/>
      </c>
      <c r="H191" s="43"/>
      <c r="I191" s="38" t="str">
        <f aca="false">IF($C191="","",G191-N(H191))</f>
        <v/>
      </c>
      <c r="J191" s="37" t="str">
        <f aca="false">IF($C191="","",INDEX(ИНФА!$J$5:$J$19,MATCH($C191,ИНФА!$I$5:$I$19,0)))</f>
        <v/>
      </c>
      <c r="K191" s="37" t="str">
        <f aca="false">IF($C191="","",INDEX(ИНФА!$K$5:$K$19,MATCH($C191,ИНФА!$I$5:$I$19,0)))</f>
        <v/>
      </c>
      <c r="L191" s="38" t="str">
        <f aca="false">IF($C191="","",INDEX(ИНФА!$O$5:$O$19,MATCH($C191,ИНФА!$I$5:$I$19,0)))</f>
        <v/>
      </c>
      <c r="M191" s="38" t="str">
        <f aca="false">IF($C191="","",INDEX(ИНФА!$P$5:$P$19,MATCH($C191,ИНФА!$I$5:$I$19,0)))</f>
        <v/>
      </c>
      <c r="N191" s="44"/>
      <c r="O191" s="48" t="n">
        <f aca="false">IF(OR($C191="",$N191=""),1,IF(AND($J191="Услуги",IFERROR(INDEX($C$5:$C$204,MATCH($N191,$A$5:$A$204,0))=INDEX(ИНФА!$L$5:$L$19,MATCH($C191,ИНФА!$I$5:$I$19,0)),FALSE()),IFERROR(INDEX($W$5:$W$204,MATCH($N191,$A$5:$A$204,0))=1,FALSE()),COUNTIF($N$5:$N191,$N191)&lt;=ИНФА!$F$16),1+ИНФА!$F$15,1))</f>
        <v>1</v>
      </c>
      <c r="P191" s="47" t="str">
        <f aca="false">IF($C191="","",IF($J191&lt;&gt;"Услуги","",IF($N191="","нет поставщика — нужен "&amp;INDEX(ИНФА!$L$5:$L$19,MATCH($C191,ИНФА!$I$5:$I$19,0)),IF($O191&gt;1,"✓ поставка работает (+50%)",IF(IFERROR(INDEX($C$5:$C$204,MATCH($N191,$A$5:$A$204,0))&lt;&gt;INDEX(ИНФА!$L$5:$L$19,MATCH($C191,ИНФА!$I$5:$I$19,0)),TRUE()),"не тот поставщик: нужен "&amp;INDEX(ИНФА!$L$5:$L$19,MATCH($C191,ИНФА!$I$5:$I$19,0)),IF(COUNTIF($N$5:$N191,$N191)&gt;ИНФА!$F$16,"поставщик перегружен","поставщик ещё не работает или продан"))))))</f>
        <v/>
      </c>
      <c r="Q191" s="44"/>
      <c r="R191" s="48" t="str">
        <f aca="false">IF($C191="","",IF($Q191="",1,IFERROR(INDEX(НАУКА!$K$5:$K$44,MATCH($Q191,НАУКА!$A$5:$A$44,0)),1)))</f>
        <v/>
      </c>
      <c r="S191" s="37" t="str">
        <f aca="false">IF($Q191="","",IFERROR(INDEX(НАУКА!$G$5:$G$44,MATCH($Q191,НАУКА!$A$5:$A$44,0)),""))</f>
        <v/>
      </c>
      <c r="T191" s="44"/>
      <c r="U191" s="44"/>
      <c r="V191" s="43"/>
      <c r="W191" s="37" t="n">
        <f aca="false">IF(OR($C191="",$D191=""),0,IF(AND($D191&lt;ИНФА!$F$5,OR($T191="",$T191&gt;=ИНФА!$F$5)),1,0))</f>
        <v>0</v>
      </c>
      <c r="X191" s="46" t="str">
        <f aca="false">IF($C191="","",INDEX(СОБЫТИЯ!$B$5:$K$8,MATCH($K191,СОБЫТИЯ!$A$5:$A$8,0),ИНФА!$F$5))</f>
        <v/>
      </c>
      <c r="Y191" s="42" t="str">
        <f aca="false">IF($C191="","",IF($W191=1,ROUND($L191*$O191*IF(AND($Q191&lt;&gt;"",$S191&lt;&gt;""),IF($S191&lt;ИНФА!$F$5,$R191,1),1)*$X191,0)-$M191+N($AF191)+N($AG191),0))</f>
        <v/>
      </c>
      <c r="Z191" s="38" t="str">
        <f aca="false">IF($C191="","",IF($T191="",INDEX(ИНФА!$M$5:$M$19,MATCH($C191,ИНФА!$I$5:$I$19,0)),0))</f>
        <v/>
      </c>
      <c r="AA191" s="38" t="str">
        <f aca="false">IF(OR($C191="",$T191=""),"",IF($V191&lt;&gt;"",$V191,INDEX(ИНФА!$N$5:$N$19,MATCH($C191,ИНФА!$I$5:$I$19,0))))</f>
        <v/>
      </c>
      <c r="AB191" s="37" t="str">
        <f aca="false">IF($C191="","",IF($T191&lt;&gt;"",IF($U191&lt;&gt;"","продано компании "&amp;$U191&amp;" в цикле "&amp;$T191,"продано Инфраструктуре в цикле "&amp;$T191),IF($D191&gt;=ИНФА!$F$5,"доход со следующего цикла","приносит доход")))</f>
        <v/>
      </c>
      <c r="AC191" s="47" t="str">
        <f aca="false">IF($C191="","",IF($F191="","",IF($E191="","укажите продавца; ",IF(OR($F191&lt;INDEX(ИНФА!$N$5:$N$19,MATCH($C191,ИНФА!$I$5:$I$19,0)),$F191&gt;INDEX(ИНФА!$M$5:$M$19,MATCH($C191,ИНФА!$I$5:$I$19,0))),"цена покупки вне коридора! ","")))&amp;IF($U191="","",IF(OR($V191="",$T191=""),"укажите цикл и цену продажи; ",IF(OR($V191&lt;INDEX(ИНФА!$N$5:$N$19,MATCH($C191,ИНФА!$I$5:$I$19,0)),$V191&gt;INDEX(ИНФА!$M$5:$M$19,MATCH($C191,ИНФА!$I$5:$I$19,0))),"цена продажи вне коридора! ","")))&amp;IF(AND($T191="",COUNTIFS($C$5:$C191,$C191,$T$5:$T191,"")&gt;INDEX(ИНФА!$Q$5:$Q$19,MATCH($C191,ИНФА!$I$5:$I$19,0))),"лотов нет! ","")&amp;IF(AND($E191&lt;&gt;"",$F191=""),"укажите цену сделки; ","")&amp;IF(AND(N($H191)&gt;0,OR($AD191="",$AD191="Профессия"),OR($H191&gt;ИНФА!$F$29,$I191&lt;INDEX(ИНФА!$N$5:$N$19,MATCH($C191,ИНФА!$I$5:$I$19,0))+ИНФА!$F$30)),"скидка больше лимита или цена ниже выкупа + 500! ","")&amp;IF($AE191="","",IF(IFERROR(INDEX($B$5:$B$204,MATCH($AE191,$A$5:$A$204,0))=$B191,TRUE()),"бизнес-пара — только со зданием другой компании; ",""))&amp;IF($Q191="","",IF(IFERROR(INDEX(НАУКА!$B$5:$B$44,MATCH($Q191,НАУКА!$A$5:$A$44,0))&lt;&gt;$B191,FALSE()),"патент другой компании — нужна лицензия или соглашение; ","")))</f>
        <v/>
      </c>
      <c r="AD191" s="44"/>
      <c r="AE191" s="44"/>
      <c r="AF191" s="38" t="str">
        <f aca="false">IF($C191="","",IF(AND($W191=1,OR($C191="Дом",$C191="Кафе")),ИНФА!$F$17*(COUNTIFS($B$5:$B191,$B191,$C$5:$C191,$C191,$W$5:$W191,1)&lt;=COUNTIFS($B$5:$B$204,$B191,$C$5:$C$204,"Парк",$W$5:$W$204,1)),0))</f>
        <v/>
      </c>
      <c r="AG191" s="38" t="str">
        <f aca="false">IF($C191="","",IF($W191=1,IF(OR(AND($AE191&lt;&gt;"",IFERROR(INDEX($W$5:$W$204,MATCH($AE191,$A$5:$A$204,0))=1,FALSE()),IFERROR(INDEX($B$5:$B$204,MATCH($AE191,$A$5:$A$204,0))&lt;&gt;$B191,FALSE())),COUNTIFS($AE$5:$AE$204,$A191,$W$5:$W$204,1,$B$5:$B$204,"&lt;&gt;"&amp;$B191)&gt;0),ИНФА!$F$31,0),0))</f>
        <v/>
      </c>
    </row>
    <row r="192" customFormat="false" ht="15" hidden="false" customHeight="false" outlineLevel="0" collapsed="false">
      <c r="A192" s="15" t="n">
        <v>188</v>
      </c>
      <c r="B192" s="44"/>
      <c r="C192" s="44"/>
      <c r="D192" s="44"/>
      <c r="E192" s="44"/>
      <c r="F192" s="43"/>
      <c r="G192" s="38" t="str">
        <f aca="false">IF($C192="","",IF($F192&lt;&gt;"",$F192,INDEX(ИНФА!$M$5:$M$19,MATCH($C192,ИНФА!$I$5:$I$19,0))))</f>
        <v/>
      </c>
      <c r="H192" s="43"/>
      <c r="I192" s="38" t="str">
        <f aca="false">IF($C192="","",G192-N(H192))</f>
        <v/>
      </c>
      <c r="J192" s="37" t="str">
        <f aca="false">IF($C192="","",INDEX(ИНФА!$J$5:$J$19,MATCH($C192,ИНФА!$I$5:$I$19,0)))</f>
        <v/>
      </c>
      <c r="K192" s="37" t="str">
        <f aca="false">IF($C192="","",INDEX(ИНФА!$K$5:$K$19,MATCH($C192,ИНФА!$I$5:$I$19,0)))</f>
        <v/>
      </c>
      <c r="L192" s="38" t="str">
        <f aca="false">IF($C192="","",INDEX(ИНФА!$O$5:$O$19,MATCH($C192,ИНФА!$I$5:$I$19,0)))</f>
        <v/>
      </c>
      <c r="M192" s="38" t="str">
        <f aca="false">IF($C192="","",INDEX(ИНФА!$P$5:$P$19,MATCH($C192,ИНФА!$I$5:$I$19,0)))</f>
        <v/>
      </c>
      <c r="N192" s="44"/>
      <c r="O192" s="48" t="n">
        <f aca="false">IF(OR($C192="",$N192=""),1,IF(AND($J192="Услуги",IFERROR(INDEX($C$5:$C$204,MATCH($N192,$A$5:$A$204,0))=INDEX(ИНФА!$L$5:$L$19,MATCH($C192,ИНФА!$I$5:$I$19,0)),FALSE()),IFERROR(INDEX($W$5:$W$204,MATCH($N192,$A$5:$A$204,0))=1,FALSE()),COUNTIF($N$5:$N192,$N192)&lt;=ИНФА!$F$16),1+ИНФА!$F$15,1))</f>
        <v>1</v>
      </c>
      <c r="P192" s="47" t="str">
        <f aca="false">IF($C192="","",IF($J192&lt;&gt;"Услуги","",IF($N192="","нет поставщика — нужен "&amp;INDEX(ИНФА!$L$5:$L$19,MATCH($C192,ИНФА!$I$5:$I$19,0)),IF($O192&gt;1,"✓ поставка работает (+50%)",IF(IFERROR(INDEX($C$5:$C$204,MATCH($N192,$A$5:$A$204,0))&lt;&gt;INDEX(ИНФА!$L$5:$L$19,MATCH($C192,ИНФА!$I$5:$I$19,0)),TRUE()),"не тот поставщик: нужен "&amp;INDEX(ИНФА!$L$5:$L$19,MATCH($C192,ИНФА!$I$5:$I$19,0)),IF(COUNTIF($N$5:$N192,$N192)&gt;ИНФА!$F$16,"поставщик перегружен","поставщик ещё не работает или продан"))))))</f>
        <v/>
      </c>
      <c r="Q192" s="44"/>
      <c r="R192" s="48" t="str">
        <f aca="false">IF($C192="","",IF($Q192="",1,IFERROR(INDEX(НАУКА!$K$5:$K$44,MATCH($Q192,НАУКА!$A$5:$A$44,0)),1)))</f>
        <v/>
      </c>
      <c r="S192" s="37" t="str">
        <f aca="false">IF($Q192="","",IFERROR(INDEX(НАУКА!$G$5:$G$44,MATCH($Q192,НАУКА!$A$5:$A$44,0)),""))</f>
        <v/>
      </c>
      <c r="T192" s="44"/>
      <c r="U192" s="44"/>
      <c r="V192" s="43"/>
      <c r="W192" s="37" t="n">
        <f aca="false">IF(OR($C192="",$D192=""),0,IF(AND($D192&lt;ИНФА!$F$5,OR($T192="",$T192&gt;=ИНФА!$F$5)),1,0))</f>
        <v>0</v>
      </c>
      <c r="X192" s="46" t="str">
        <f aca="false">IF($C192="","",INDEX(СОБЫТИЯ!$B$5:$K$8,MATCH($K192,СОБЫТИЯ!$A$5:$A$8,0),ИНФА!$F$5))</f>
        <v/>
      </c>
      <c r="Y192" s="42" t="str">
        <f aca="false">IF($C192="","",IF($W192=1,ROUND($L192*$O192*IF(AND($Q192&lt;&gt;"",$S192&lt;&gt;""),IF($S192&lt;ИНФА!$F$5,$R192,1),1)*$X192,0)-$M192+N($AF192)+N($AG192),0))</f>
        <v/>
      </c>
      <c r="Z192" s="38" t="str">
        <f aca="false">IF($C192="","",IF($T192="",INDEX(ИНФА!$M$5:$M$19,MATCH($C192,ИНФА!$I$5:$I$19,0)),0))</f>
        <v/>
      </c>
      <c r="AA192" s="38" t="str">
        <f aca="false">IF(OR($C192="",$T192=""),"",IF($V192&lt;&gt;"",$V192,INDEX(ИНФА!$N$5:$N$19,MATCH($C192,ИНФА!$I$5:$I$19,0))))</f>
        <v/>
      </c>
      <c r="AB192" s="37" t="str">
        <f aca="false">IF($C192="","",IF($T192&lt;&gt;"",IF($U192&lt;&gt;"","продано компании "&amp;$U192&amp;" в цикле "&amp;$T192,"продано Инфраструктуре в цикле "&amp;$T192),IF($D192&gt;=ИНФА!$F$5,"доход со следующего цикла","приносит доход")))</f>
        <v/>
      </c>
      <c r="AC192" s="47" t="str">
        <f aca="false">IF($C192="","",IF($F192="","",IF($E192="","укажите продавца; ",IF(OR($F192&lt;INDEX(ИНФА!$N$5:$N$19,MATCH($C192,ИНФА!$I$5:$I$19,0)),$F192&gt;INDEX(ИНФА!$M$5:$M$19,MATCH($C192,ИНФА!$I$5:$I$19,0))),"цена покупки вне коридора! ","")))&amp;IF($U192="","",IF(OR($V192="",$T192=""),"укажите цикл и цену продажи; ",IF(OR($V192&lt;INDEX(ИНФА!$N$5:$N$19,MATCH($C192,ИНФА!$I$5:$I$19,0)),$V192&gt;INDEX(ИНФА!$M$5:$M$19,MATCH($C192,ИНФА!$I$5:$I$19,0))),"цена продажи вне коридора! ","")))&amp;IF(AND($T192="",COUNTIFS($C$5:$C192,$C192,$T$5:$T192,"")&gt;INDEX(ИНФА!$Q$5:$Q$19,MATCH($C192,ИНФА!$I$5:$I$19,0))),"лотов нет! ","")&amp;IF(AND($E192&lt;&gt;"",$F192=""),"укажите цену сделки; ","")&amp;IF(AND(N($H192)&gt;0,OR($AD192="",$AD192="Профессия"),OR($H192&gt;ИНФА!$F$29,$I192&lt;INDEX(ИНФА!$N$5:$N$19,MATCH($C192,ИНФА!$I$5:$I$19,0))+ИНФА!$F$30)),"скидка больше лимита или цена ниже выкупа + 500! ","")&amp;IF($AE192="","",IF(IFERROR(INDEX($B$5:$B$204,MATCH($AE192,$A$5:$A$204,0))=$B192,TRUE()),"бизнес-пара — только со зданием другой компании; ",""))&amp;IF($Q192="","",IF(IFERROR(INDEX(НАУКА!$B$5:$B$44,MATCH($Q192,НАУКА!$A$5:$A$44,0))&lt;&gt;$B192,FALSE()),"патент другой компании — нужна лицензия или соглашение; ","")))</f>
        <v/>
      </c>
      <c r="AD192" s="44"/>
      <c r="AE192" s="44"/>
      <c r="AF192" s="38" t="str">
        <f aca="false">IF($C192="","",IF(AND($W192=1,OR($C192="Дом",$C192="Кафе")),ИНФА!$F$17*(COUNTIFS($B$5:$B192,$B192,$C$5:$C192,$C192,$W$5:$W192,1)&lt;=COUNTIFS($B$5:$B$204,$B192,$C$5:$C$204,"Парк",$W$5:$W$204,1)),0))</f>
        <v/>
      </c>
      <c r="AG192" s="38" t="str">
        <f aca="false">IF($C192="","",IF($W192=1,IF(OR(AND($AE192&lt;&gt;"",IFERROR(INDEX($W$5:$W$204,MATCH($AE192,$A$5:$A$204,0))=1,FALSE()),IFERROR(INDEX($B$5:$B$204,MATCH($AE192,$A$5:$A$204,0))&lt;&gt;$B192,FALSE())),COUNTIFS($AE$5:$AE$204,$A192,$W$5:$W$204,1,$B$5:$B$204,"&lt;&gt;"&amp;$B192)&gt;0),ИНФА!$F$31,0),0))</f>
        <v/>
      </c>
    </row>
    <row r="193" customFormat="false" ht="15" hidden="false" customHeight="false" outlineLevel="0" collapsed="false">
      <c r="A193" s="15" t="n">
        <v>189</v>
      </c>
      <c r="B193" s="44"/>
      <c r="C193" s="44"/>
      <c r="D193" s="44"/>
      <c r="E193" s="44"/>
      <c r="F193" s="43"/>
      <c r="G193" s="38" t="str">
        <f aca="false">IF($C193="","",IF($F193&lt;&gt;"",$F193,INDEX(ИНФА!$M$5:$M$19,MATCH($C193,ИНФА!$I$5:$I$19,0))))</f>
        <v/>
      </c>
      <c r="H193" s="43"/>
      <c r="I193" s="38" t="str">
        <f aca="false">IF($C193="","",G193-N(H193))</f>
        <v/>
      </c>
      <c r="J193" s="37" t="str">
        <f aca="false">IF($C193="","",INDEX(ИНФА!$J$5:$J$19,MATCH($C193,ИНФА!$I$5:$I$19,0)))</f>
        <v/>
      </c>
      <c r="K193" s="37" t="str">
        <f aca="false">IF($C193="","",INDEX(ИНФА!$K$5:$K$19,MATCH($C193,ИНФА!$I$5:$I$19,0)))</f>
        <v/>
      </c>
      <c r="L193" s="38" t="str">
        <f aca="false">IF($C193="","",INDEX(ИНФА!$O$5:$O$19,MATCH($C193,ИНФА!$I$5:$I$19,0)))</f>
        <v/>
      </c>
      <c r="M193" s="38" t="str">
        <f aca="false">IF($C193="","",INDEX(ИНФА!$P$5:$P$19,MATCH($C193,ИНФА!$I$5:$I$19,0)))</f>
        <v/>
      </c>
      <c r="N193" s="44"/>
      <c r="O193" s="48" t="n">
        <f aca="false">IF(OR($C193="",$N193=""),1,IF(AND($J193="Услуги",IFERROR(INDEX($C$5:$C$204,MATCH($N193,$A$5:$A$204,0))=INDEX(ИНФА!$L$5:$L$19,MATCH($C193,ИНФА!$I$5:$I$19,0)),FALSE()),IFERROR(INDEX($W$5:$W$204,MATCH($N193,$A$5:$A$204,0))=1,FALSE()),COUNTIF($N$5:$N193,$N193)&lt;=ИНФА!$F$16),1+ИНФА!$F$15,1))</f>
        <v>1</v>
      </c>
      <c r="P193" s="47" t="str">
        <f aca="false">IF($C193="","",IF($J193&lt;&gt;"Услуги","",IF($N193="","нет поставщика — нужен "&amp;INDEX(ИНФА!$L$5:$L$19,MATCH($C193,ИНФА!$I$5:$I$19,0)),IF($O193&gt;1,"✓ поставка работает (+50%)",IF(IFERROR(INDEX($C$5:$C$204,MATCH($N193,$A$5:$A$204,0))&lt;&gt;INDEX(ИНФА!$L$5:$L$19,MATCH($C193,ИНФА!$I$5:$I$19,0)),TRUE()),"не тот поставщик: нужен "&amp;INDEX(ИНФА!$L$5:$L$19,MATCH($C193,ИНФА!$I$5:$I$19,0)),IF(COUNTIF($N$5:$N193,$N193)&gt;ИНФА!$F$16,"поставщик перегружен","поставщик ещё не работает или продан"))))))</f>
        <v/>
      </c>
      <c r="Q193" s="44"/>
      <c r="R193" s="48" t="str">
        <f aca="false">IF($C193="","",IF($Q193="",1,IFERROR(INDEX(НАУКА!$K$5:$K$44,MATCH($Q193,НАУКА!$A$5:$A$44,0)),1)))</f>
        <v/>
      </c>
      <c r="S193" s="37" t="str">
        <f aca="false">IF($Q193="","",IFERROR(INDEX(НАУКА!$G$5:$G$44,MATCH($Q193,НАУКА!$A$5:$A$44,0)),""))</f>
        <v/>
      </c>
      <c r="T193" s="44"/>
      <c r="U193" s="44"/>
      <c r="V193" s="43"/>
      <c r="W193" s="37" t="n">
        <f aca="false">IF(OR($C193="",$D193=""),0,IF(AND($D193&lt;ИНФА!$F$5,OR($T193="",$T193&gt;=ИНФА!$F$5)),1,0))</f>
        <v>0</v>
      </c>
      <c r="X193" s="46" t="str">
        <f aca="false">IF($C193="","",INDEX(СОБЫТИЯ!$B$5:$K$8,MATCH($K193,СОБЫТИЯ!$A$5:$A$8,0),ИНФА!$F$5))</f>
        <v/>
      </c>
      <c r="Y193" s="42" t="str">
        <f aca="false">IF($C193="","",IF($W193=1,ROUND($L193*$O193*IF(AND($Q193&lt;&gt;"",$S193&lt;&gt;""),IF($S193&lt;ИНФА!$F$5,$R193,1),1)*$X193,0)-$M193+N($AF193)+N($AG193),0))</f>
        <v/>
      </c>
      <c r="Z193" s="38" t="str">
        <f aca="false">IF($C193="","",IF($T193="",INDEX(ИНФА!$M$5:$M$19,MATCH($C193,ИНФА!$I$5:$I$19,0)),0))</f>
        <v/>
      </c>
      <c r="AA193" s="38" t="str">
        <f aca="false">IF(OR($C193="",$T193=""),"",IF($V193&lt;&gt;"",$V193,INDEX(ИНФА!$N$5:$N$19,MATCH($C193,ИНФА!$I$5:$I$19,0))))</f>
        <v/>
      </c>
      <c r="AB193" s="37" t="str">
        <f aca="false">IF($C193="","",IF($T193&lt;&gt;"",IF($U193&lt;&gt;"","продано компании "&amp;$U193&amp;" в цикле "&amp;$T193,"продано Инфраструктуре в цикле "&amp;$T193),IF($D193&gt;=ИНФА!$F$5,"доход со следующего цикла","приносит доход")))</f>
        <v/>
      </c>
      <c r="AC193" s="47" t="str">
        <f aca="false">IF($C193="","",IF($F193="","",IF($E193="","укажите продавца; ",IF(OR($F193&lt;INDEX(ИНФА!$N$5:$N$19,MATCH($C193,ИНФА!$I$5:$I$19,0)),$F193&gt;INDEX(ИНФА!$M$5:$M$19,MATCH($C193,ИНФА!$I$5:$I$19,0))),"цена покупки вне коридора! ","")))&amp;IF($U193="","",IF(OR($V193="",$T193=""),"укажите цикл и цену продажи; ",IF(OR($V193&lt;INDEX(ИНФА!$N$5:$N$19,MATCH($C193,ИНФА!$I$5:$I$19,0)),$V193&gt;INDEX(ИНФА!$M$5:$M$19,MATCH($C193,ИНФА!$I$5:$I$19,0))),"цена продажи вне коридора! ","")))&amp;IF(AND($T193="",COUNTIFS($C$5:$C193,$C193,$T$5:$T193,"")&gt;INDEX(ИНФА!$Q$5:$Q$19,MATCH($C193,ИНФА!$I$5:$I$19,0))),"лотов нет! ","")&amp;IF(AND($E193&lt;&gt;"",$F193=""),"укажите цену сделки; ","")&amp;IF(AND(N($H193)&gt;0,OR($AD193="",$AD193="Профессия"),OR($H193&gt;ИНФА!$F$29,$I193&lt;INDEX(ИНФА!$N$5:$N$19,MATCH($C193,ИНФА!$I$5:$I$19,0))+ИНФА!$F$30)),"скидка больше лимита или цена ниже выкупа + 500! ","")&amp;IF($AE193="","",IF(IFERROR(INDEX($B$5:$B$204,MATCH($AE193,$A$5:$A$204,0))=$B193,TRUE()),"бизнес-пара — только со зданием другой компании; ",""))&amp;IF($Q193="","",IF(IFERROR(INDEX(НАУКА!$B$5:$B$44,MATCH($Q193,НАУКА!$A$5:$A$44,0))&lt;&gt;$B193,FALSE()),"патент другой компании — нужна лицензия или соглашение; ","")))</f>
        <v/>
      </c>
      <c r="AD193" s="44"/>
      <c r="AE193" s="44"/>
      <c r="AF193" s="38" t="str">
        <f aca="false">IF($C193="","",IF(AND($W193=1,OR($C193="Дом",$C193="Кафе")),ИНФА!$F$17*(COUNTIFS($B$5:$B193,$B193,$C$5:$C193,$C193,$W$5:$W193,1)&lt;=COUNTIFS($B$5:$B$204,$B193,$C$5:$C$204,"Парк",$W$5:$W$204,1)),0))</f>
        <v/>
      </c>
      <c r="AG193" s="38" t="str">
        <f aca="false">IF($C193="","",IF($W193=1,IF(OR(AND($AE193&lt;&gt;"",IFERROR(INDEX($W$5:$W$204,MATCH($AE193,$A$5:$A$204,0))=1,FALSE()),IFERROR(INDEX($B$5:$B$204,MATCH($AE193,$A$5:$A$204,0))&lt;&gt;$B193,FALSE())),COUNTIFS($AE$5:$AE$204,$A193,$W$5:$W$204,1,$B$5:$B$204,"&lt;&gt;"&amp;$B193)&gt;0),ИНФА!$F$31,0),0))</f>
        <v/>
      </c>
    </row>
    <row r="194" customFormat="false" ht="15" hidden="false" customHeight="false" outlineLevel="0" collapsed="false">
      <c r="A194" s="15" t="n">
        <v>190</v>
      </c>
      <c r="B194" s="44"/>
      <c r="C194" s="44"/>
      <c r="D194" s="44"/>
      <c r="E194" s="44"/>
      <c r="F194" s="43"/>
      <c r="G194" s="38" t="str">
        <f aca="false">IF($C194="","",IF($F194&lt;&gt;"",$F194,INDEX(ИНФА!$M$5:$M$19,MATCH($C194,ИНФА!$I$5:$I$19,0))))</f>
        <v/>
      </c>
      <c r="H194" s="43"/>
      <c r="I194" s="38" t="str">
        <f aca="false">IF($C194="","",G194-N(H194))</f>
        <v/>
      </c>
      <c r="J194" s="37" t="str">
        <f aca="false">IF($C194="","",INDEX(ИНФА!$J$5:$J$19,MATCH($C194,ИНФА!$I$5:$I$19,0)))</f>
        <v/>
      </c>
      <c r="K194" s="37" t="str">
        <f aca="false">IF($C194="","",INDEX(ИНФА!$K$5:$K$19,MATCH($C194,ИНФА!$I$5:$I$19,0)))</f>
        <v/>
      </c>
      <c r="L194" s="38" t="str">
        <f aca="false">IF($C194="","",INDEX(ИНФА!$O$5:$O$19,MATCH($C194,ИНФА!$I$5:$I$19,0)))</f>
        <v/>
      </c>
      <c r="M194" s="38" t="str">
        <f aca="false">IF($C194="","",INDEX(ИНФА!$P$5:$P$19,MATCH($C194,ИНФА!$I$5:$I$19,0)))</f>
        <v/>
      </c>
      <c r="N194" s="44"/>
      <c r="O194" s="48" t="n">
        <f aca="false">IF(OR($C194="",$N194=""),1,IF(AND($J194="Услуги",IFERROR(INDEX($C$5:$C$204,MATCH($N194,$A$5:$A$204,0))=INDEX(ИНФА!$L$5:$L$19,MATCH($C194,ИНФА!$I$5:$I$19,0)),FALSE()),IFERROR(INDEX($W$5:$W$204,MATCH($N194,$A$5:$A$204,0))=1,FALSE()),COUNTIF($N$5:$N194,$N194)&lt;=ИНФА!$F$16),1+ИНФА!$F$15,1))</f>
        <v>1</v>
      </c>
      <c r="P194" s="47" t="str">
        <f aca="false">IF($C194="","",IF($J194&lt;&gt;"Услуги","",IF($N194="","нет поставщика — нужен "&amp;INDEX(ИНФА!$L$5:$L$19,MATCH($C194,ИНФА!$I$5:$I$19,0)),IF($O194&gt;1,"✓ поставка работает (+50%)",IF(IFERROR(INDEX($C$5:$C$204,MATCH($N194,$A$5:$A$204,0))&lt;&gt;INDEX(ИНФА!$L$5:$L$19,MATCH($C194,ИНФА!$I$5:$I$19,0)),TRUE()),"не тот поставщик: нужен "&amp;INDEX(ИНФА!$L$5:$L$19,MATCH($C194,ИНФА!$I$5:$I$19,0)),IF(COUNTIF($N$5:$N194,$N194)&gt;ИНФА!$F$16,"поставщик перегружен","поставщик ещё не работает или продан"))))))</f>
        <v/>
      </c>
      <c r="Q194" s="44"/>
      <c r="R194" s="48" t="str">
        <f aca="false">IF($C194="","",IF($Q194="",1,IFERROR(INDEX(НАУКА!$K$5:$K$44,MATCH($Q194,НАУКА!$A$5:$A$44,0)),1)))</f>
        <v/>
      </c>
      <c r="S194" s="37" t="str">
        <f aca="false">IF($Q194="","",IFERROR(INDEX(НАУКА!$G$5:$G$44,MATCH($Q194,НАУКА!$A$5:$A$44,0)),""))</f>
        <v/>
      </c>
      <c r="T194" s="44"/>
      <c r="U194" s="44"/>
      <c r="V194" s="43"/>
      <c r="W194" s="37" t="n">
        <f aca="false">IF(OR($C194="",$D194=""),0,IF(AND($D194&lt;ИНФА!$F$5,OR($T194="",$T194&gt;=ИНФА!$F$5)),1,0))</f>
        <v>0</v>
      </c>
      <c r="X194" s="46" t="str">
        <f aca="false">IF($C194="","",INDEX(СОБЫТИЯ!$B$5:$K$8,MATCH($K194,СОБЫТИЯ!$A$5:$A$8,0),ИНФА!$F$5))</f>
        <v/>
      </c>
      <c r="Y194" s="42" t="str">
        <f aca="false">IF($C194="","",IF($W194=1,ROUND($L194*$O194*IF(AND($Q194&lt;&gt;"",$S194&lt;&gt;""),IF($S194&lt;ИНФА!$F$5,$R194,1),1)*$X194,0)-$M194+N($AF194)+N($AG194),0))</f>
        <v/>
      </c>
      <c r="Z194" s="38" t="str">
        <f aca="false">IF($C194="","",IF($T194="",INDEX(ИНФА!$M$5:$M$19,MATCH($C194,ИНФА!$I$5:$I$19,0)),0))</f>
        <v/>
      </c>
      <c r="AA194" s="38" t="str">
        <f aca="false">IF(OR($C194="",$T194=""),"",IF($V194&lt;&gt;"",$V194,INDEX(ИНФА!$N$5:$N$19,MATCH($C194,ИНФА!$I$5:$I$19,0))))</f>
        <v/>
      </c>
      <c r="AB194" s="37" t="str">
        <f aca="false">IF($C194="","",IF($T194&lt;&gt;"",IF($U194&lt;&gt;"","продано компании "&amp;$U194&amp;" в цикле "&amp;$T194,"продано Инфраструктуре в цикле "&amp;$T194),IF($D194&gt;=ИНФА!$F$5,"доход со следующего цикла","приносит доход")))</f>
        <v/>
      </c>
      <c r="AC194" s="47" t="str">
        <f aca="false">IF($C194="","",IF($F194="","",IF($E194="","укажите продавца; ",IF(OR($F194&lt;INDEX(ИНФА!$N$5:$N$19,MATCH($C194,ИНФА!$I$5:$I$19,0)),$F194&gt;INDEX(ИНФА!$M$5:$M$19,MATCH($C194,ИНФА!$I$5:$I$19,0))),"цена покупки вне коридора! ","")))&amp;IF($U194="","",IF(OR($V194="",$T194=""),"укажите цикл и цену продажи; ",IF(OR($V194&lt;INDEX(ИНФА!$N$5:$N$19,MATCH($C194,ИНФА!$I$5:$I$19,0)),$V194&gt;INDEX(ИНФА!$M$5:$M$19,MATCH($C194,ИНФА!$I$5:$I$19,0))),"цена продажи вне коридора! ","")))&amp;IF(AND($T194="",COUNTIFS($C$5:$C194,$C194,$T$5:$T194,"")&gt;INDEX(ИНФА!$Q$5:$Q$19,MATCH($C194,ИНФА!$I$5:$I$19,0))),"лотов нет! ","")&amp;IF(AND($E194&lt;&gt;"",$F194=""),"укажите цену сделки; ","")&amp;IF(AND(N($H194)&gt;0,OR($AD194="",$AD194="Профессия"),OR($H194&gt;ИНФА!$F$29,$I194&lt;INDEX(ИНФА!$N$5:$N$19,MATCH($C194,ИНФА!$I$5:$I$19,0))+ИНФА!$F$30)),"скидка больше лимита или цена ниже выкупа + 500! ","")&amp;IF($AE194="","",IF(IFERROR(INDEX($B$5:$B$204,MATCH($AE194,$A$5:$A$204,0))=$B194,TRUE()),"бизнес-пара — только со зданием другой компании; ",""))&amp;IF($Q194="","",IF(IFERROR(INDEX(НАУКА!$B$5:$B$44,MATCH($Q194,НАУКА!$A$5:$A$44,0))&lt;&gt;$B194,FALSE()),"патент другой компании — нужна лицензия или соглашение; ","")))</f>
        <v/>
      </c>
      <c r="AD194" s="44"/>
      <c r="AE194" s="44"/>
      <c r="AF194" s="38" t="str">
        <f aca="false">IF($C194="","",IF(AND($W194=1,OR($C194="Дом",$C194="Кафе")),ИНФА!$F$17*(COUNTIFS($B$5:$B194,$B194,$C$5:$C194,$C194,$W$5:$W194,1)&lt;=COUNTIFS($B$5:$B$204,$B194,$C$5:$C$204,"Парк",$W$5:$W$204,1)),0))</f>
        <v/>
      </c>
      <c r="AG194" s="38" t="str">
        <f aca="false">IF($C194="","",IF($W194=1,IF(OR(AND($AE194&lt;&gt;"",IFERROR(INDEX($W$5:$W$204,MATCH($AE194,$A$5:$A$204,0))=1,FALSE()),IFERROR(INDEX($B$5:$B$204,MATCH($AE194,$A$5:$A$204,0))&lt;&gt;$B194,FALSE())),COUNTIFS($AE$5:$AE$204,$A194,$W$5:$W$204,1,$B$5:$B$204,"&lt;&gt;"&amp;$B194)&gt;0),ИНФА!$F$31,0),0))</f>
        <v/>
      </c>
    </row>
    <row r="195" customFormat="false" ht="15" hidden="false" customHeight="false" outlineLevel="0" collapsed="false">
      <c r="A195" s="15" t="n">
        <v>191</v>
      </c>
      <c r="B195" s="44"/>
      <c r="C195" s="44"/>
      <c r="D195" s="44"/>
      <c r="E195" s="44"/>
      <c r="F195" s="43"/>
      <c r="G195" s="38" t="str">
        <f aca="false">IF($C195="","",IF($F195&lt;&gt;"",$F195,INDEX(ИНФА!$M$5:$M$19,MATCH($C195,ИНФА!$I$5:$I$19,0))))</f>
        <v/>
      </c>
      <c r="H195" s="43"/>
      <c r="I195" s="38" t="str">
        <f aca="false">IF($C195="","",G195-N(H195))</f>
        <v/>
      </c>
      <c r="J195" s="37" t="str">
        <f aca="false">IF($C195="","",INDEX(ИНФА!$J$5:$J$19,MATCH($C195,ИНФА!$I$5:$I$19,0)))</f>
        <v/>
      </c>
      <c r="K195" s="37" t="str">
        <f aca="false">IF($C195="","",INDEX(ИНФА!$K$5:$K$19,MATCH($C195,ИНФА!$I$5:$I$19,0)))</f>
        <v/>
      </c>
      <c r="L195" s="38" t="str">
        <f aca="false">IF($C195="","",INDEX(ИНФА!$O$5:$O$19,MATCH($C195,ИНФА!$I$5:$I$19,0)))</f>
        <v/>
      </c>
      <c r="M195" s="38" t="str">
        <f aca="false">IF($C195="","",INDEX(ИНФА!$P$5:$P$19,MATCH($C195,ИНФА!$I$5:$I$19,0)))</f>
        <v/>
      </c>
      <c r="N195" s="44"/>
      <c r="O195" s="48" t="n">
        <f aca="false">IF(OR($C195="",$N195=""),1,IF(AND($J195="Услуги",IFERROR(INDEX($C$5:$C$204,MATCH($N195,$A$5:$A$204,0))=INDEX(ИНФА!$L$5:$L$19,MATCH($C195,ИНФА!$I$5:$I$19,0)),FALSE()),IFERROR(INDEX($W$5:$W$204,MATCH($N195,$A$5:$A$204,0))=1,FALSE()),COUNTIF($N$5:$N195,$N195)&lt;=ИНФА!$F$16),1+ИНФА!$F$15,1))</f>
        <v>1</v>
      </c>
      <c r="P195" s="47" t="str">
        <f aca="false">IF($C195="","",IF($J195&lt;&gt;"Услуги","",IF($N195="","нет поставщика — нужен "&amp;INDEX(ИНФА!$L$5:$L$19,MATCH($C195,ИНФА!$I$5:$I$19,0)),IF($O195&gt;1,"✓ поставка работает (+50%)",IF(IFERROR(INDEX($C$5:$C$204,MATCH($N195,$A$5:$A$204,0))&lt;&gt;INDEX(ИНФА!$L$5:$L$19,MATCH($C195,ИНФА!$I$5:$I$19,0)),TRUE()),"не тот поставщик: нужен "&amp;INDEX(ИНФА!$L$5:$L$19,MATCH($C195,ИНФА!$I$5:$I$19,0)),IF(COUNTIF($N$5:$N195,$N195)&gt;ИНФА!$F$16,"поставщик перегружен","поставщик ещё не работает или продан"))))))</f>
        <v/>
      </c>
      <c r="Q195" s="44"/>
      <c r="R195" s="48" t="str">
        <f aca="false">IF($C195="","",IF($Q195="",1,IFERROR(INDEX(НАУКА!$K$5:$K$44,MATCH($Q195,НАУКА!$A$5:$A$44,0)),1)))</f>
        <v/>
      </c>
      <c r="S195" s="37" t="str">
        <f aca="false">IF($Q195="","",IFERROR(INDEX(НАУКА!$G$5:$G$44,MATCH($Q195,НАУКА!$A$5:$A$44,0)),""))</f>
        <v/>
      </c>
      <c r="T195" s="44"/>
      <c r="U195" s="44"/>
      <c r="V195" s="43"/>
      <c r="W195" s="37" t="n">
        <f aca="false">IF(OR($C195="",$D195=""),0,IF(AND($D195&lt;ИНФА!$F$5,OR($T195="",$T195&gt;=ИНФА!$F$5)),1,0))</f>
        <v>0</v>
      </c>
      <c r="X195" s="46" t="str">
        <f aca="false">IF($C195="","",INDEX(СОБЫТИЯ!$B$5:$K$8,MATCH($K195,СОБЫТИЯ!$A$5:$A$8,0),ИНФА!$F$5))</f>
        <v/>
      </c>
      <c r="Y195" s="42" t="str">
        <f aca="false">IF($C195="","",IF($W195=1,ROUND($L195*$O195*IF(AND($Q195&lt;&gt;"",$S195&lt;&gt;""),IF($S195&lt;ИНФА!$F$5,$R195,1),1)*$X195,0)-$M195+N($AF195)+N($AG195),0))</f>
        <v/>
      </c>
      <c r="Z195" s="38" t="str">
        <f aca="false">IF($C195="","",IF($T195="",INDEX(ИНФА!$M$5:$M$19,MATCH($C195,ИНФА!$I$5:$I$19,0)),0))</f>
        <v/>
      </c>
      <c r="AA195" s="38" t="str">
        <f aca="false">IF(OR($C195="",$T195=""),"",IF($V195&lt;&gt;"",$V195,INDEX(ИНФА!$N$5:$N$19,MATCH($C195,ИНФА!$I$5:$I$19,0))))</f>
        <v/>
      </c>
      <c r="AB195" s="37" t="str">
        <f aca="false">IF($C195="","",IF($T195&lt;&gt;"",IF($U195&lt;&gt;"","продано компании "&amp;$U195&amp;" в цикле "&amp;$T195,"продано Инфраструктуре в цикле "&amp;$T195),IF($D195&gt;=ИНФА!$F$5,"доход со следующего цикла","приносит доход")))</f>
        <v/>
      </c>
      <c r="AC195" s="47" t="str">
        <f aca="false">IF($C195="","",IF($F195="","",IF($E195="","укажите продавца; ",IF(OR($F195&lt;INDEX(ИНФА!$N$5:$N$19,MATCH($C195,ИНФА!$I$5:$I$19,0)),$F195&gt;INDEX(ИНФА!$M$5:$M$19,MATCH($C195,ИНФА!$I$5:$I$19,0))),"цена покупки вне коридора! ","")))&amp;IF($U195="","",IF(OR($V195="",$T195=""),"укажите цикл и цену продажи; ",IF(OR($V195&lt;INDEX(ИНФА!$N$5:$N$19,MATCH($C195,ИНФА!$I$5:$I$19,0)),$V195&gt;INDEX(ИНФА!$M$5:$M$19,MATCH($C195,ИНФА!$I$5:$I$19,0))),"цена продажи вне коридора! ","")))&amp;IF(AND($T195="",COUNTIFS($C$5:$C195,$C195,$T$5:$T195,"")&gt;INDEX(ИНФА!$Q$5:$Q$19,MATCH($C195,ИНФА!$I$5:$I$19,0))),"лотов нет! ","")&amp;IF(AND($E195&lt;&gt;"",$F195=""),"укажите цену сделки; ","")&amp;IF(AND(N($H195)&gt;0,OR($AD195="",$AD195="Профессия"),OR($H195&gt;ИНФА!$F$29,$I195&lt;INDEX(ИНФА!$N$5:$N$19,MATCH($C195,ИНФА!$I$5:$I$19,0))+ИНФА!$F$30)),"скидка больше лимита или цена ниже выкупа + 500! ","")&amp;IF($AE195="","",IF(IFERROR(INDEX($B$5:$B$204,MATCH($AE195,$A$5:$A$204,0))=$B195,TRUE()),"бизнес-пара — только со зданием другой компании; ",""))&amp;IF($Q195="","",IF(IFERROR(INDEX(НАУКА!$B$5:$B$44,MATCH($Q195,НАУКА!$A$5:$A$44,0))&lt;&gt;$B195,FALSE()),"патент другой компании — нужна лицензия или соглашение; ","")))</f>
        <v/>
      </c>
      <c r="AD195" s="44"/>
      <c r="AE195" s="44"/>
      <c r="AF195" s="38" t="str">
        <f aca="false">IF($C195="","",IF(AND($W195=1,OR($C195="Дом",$C195="Кафе")),ИНФА!$F$17*(COUNTIFS($B$5:$B195,$B195,$C$5:$C195,$C195,$W$5:$W195,1)&lt;=COUNTIFS($B$5:$B$204,$B195,$C$5:$C$204,"Парк",$W$5:$W$204,1)),0))</f>
        <v/>
      </c>
      <c r="AG195" s="38" t="str">
        <f aca="false">IF($C195="","",IF($W195=1,IF(OR(AND($AE195&lt;&gt;"",IFERROR(INDEX($W$5:$W$204,MATCH($AE195,$A$5:$A$204,0))=1,FALSE()),IFERROR(INDEX($B$5:$B$204,MATCH($AE195,$A$5:$A$204,0))&lt;&gt;$B195,FALSE())),COUNTIFS($AE$5:$AE$204,$A195,$W$5:$W$204,1,$B$5:$B$204,"&lt;&gt;"&amp;$B195)&gt;0),ИНФА!$F$31,0),0))</f>
        <v/>
      </c>
    </row>
    <row r="196" customFormat="false" ht="15" hidden="false" customHeight="false" outlineLevel="0" collapsed="false">
      <c r="A196" s="15" t="n">
        <v>192</v>
      </c>
      <c r="B196" s="44"/>
      <c r="C196" s="44"/>
      <c r="D196" s="44"/>
      <c r="E196" s="44"/>
      <c r="F196" s="43"/>
      <c r="G196" s="38" t="str">
        <f aca="false">IF($C196="","",IF($F196&lt;&gt;"",$F196,INDEX(ИНФА!$M$5:$M$19,MATCH($C196,ИНФА!$I$5:$I$19,0))))</f>
        <v/>
      </c>
      <c r="H196" s="43"/>
      <c r="I196" s="38" t="str">
        <f aca="false">IF($C196="","",G196-N(H196))</f>
        <v/>
      </c>
      <c r="J196" s="37" t="str">
        <f aca="false">IF($C196="","",INDEX(ИНФА!$J$5:$J$19,MATCH($C196,ИНФА!$I$5:$I$19,0)))</f>
        <v/>
      </c>
      <c r="K196" s="37" t="str">
        <f aca="false">IF($C196="","",INDEX(ИНФА!$K$5:$K$19,MATCH($C196,ИНФА!$I$5:$I$19,0)))</f>
        <v/>
      </c>
      <c r="L196" s="38" t="str">
        <f aca="false">IF($C196="","",INDEX(ИНФА!$O$5:$O$19,MATCH($C196,ИНФА!$I$5:$I$19,0)))</f>
        <v/>
      </c>
      <c r="M196" s="38" t="str">
        <f aca="false">IF($C196="","",INDEX(ИНФА!$P$5:$P$19,MATCH($C196,ИНФА!$I$5:$I$19,0)))</f>
        <v/>
      </c>
      <c r="N196" s="44"/>
      <c r="O196" s="48" t="n">
        <f aca="false">IF(OR($C196="",$N196=""),1,IF(AND($J196="Услуги",IFERROR(INDEX($C$5:$C$204,MATCH($N196,$A$5:$A$204,0))=INDEX(ИНФА!$L$5:$L$19,MATCH($C196,ИНФА!$I$5:$I$19,0)),FALSE()),IFERROR(INDEX($W$5:$W$204,MATCH($N196,$A$5:$A$204,0))=1,FALSE()),COUNTIF($N$5:$N196,$N196)&lt;=ИНФА!$F$16),1+ИНФА!$F$15,1))</f>
        <v>1</v>
      </c>
      <c r="P196" s="47" t="str">
        <f aca="false">IF($C196="","",IF($J196&lt;&gt;"Услуги","",IF($N196="","нет поставщика — нужен "&amp;INDEX(ИНФА!$L$5:$L$19,MATCH($C196,ИНФА!$I$5:$I$19,0)),IF($O196&gt;1,"✓ поставка работает (+50%)",IF(IFERROR(INDEX($C$5:$C$204,MATCH($N196,$A$5:$A$204,0))&lt;&gt;INDEX(ИНФА!$L$5:$L$19,MATCH($C196,ИНФА!$I$5:$I$19,0)),TRUE()),"не тот поставщик: нужен "&amp;INDEX(ИНФА!$L$5:$L$19,MATCH($C196,ИНФА!$I$5:$I$19,0)),IF(COUNTIF($N$5:$N196,$N196)&gt;ИНФА!$F$16,"поставщик перегружен","поставщик ещё не работает или продан"))))))</f>
        <v/>
      </c>
      <c r="Q196" s="44"/>
      <c r="R196" s="48" t="str">
        <f aca="false">IF($C196="","",IF($Q196="",1,IFERROR(INDEX(НАУКА!$K$5:$K$44,MATCH($Q196,НАУКА!$A$5:$A$44,0)),1)))</f>
        <v/>
      </c>
      <c r="S196" s="37" t="str">
        <f aca="false">IF($Q196="","",IFERROR(INDEX(НАУКА!$G$5:$G$44,MATCH($Q196,НАУКА!$A$5:$A$44,0)),""))</f>
        <v/>
      </c>
      <c r="T196" s="44"/>
      <c r="U196" s="44"/>
      <c r="V196" s="43"/>
      <c r="W196" s="37" t="n">
        <f aca="false">IF(OR($C196="",$D196=""),0,IF(AND($D196&lt;ИНФА!$F$5,OR($T196="",$T196&gt;=ИНФА!$F$5)),1,0))</f>
        <v>0</v>
      </c>
      <c r="X196" s="46" t="str">
        <f aca="false">IF($C196="","",INDEX(СОБЫТИЯ!$B$5:$K$8,MATCH($K196,СОБЫТИЯ!$A$5:$A$8,0),ИНФА!$F$5))</f>
        <v/>
      </c>
      <c r="Y196" s="42" t="str">
        <f aca="false">IF($C196="","",IF($W196=1,ROUND($L196*$O196*IF(AND($Q196&lt;&gt;"",$S196&lt;&gt;""),IF($S196&lt;ИНФА!$F$5,$R196,1),1)*$X196,0)-$M196+N($AF196)+N($AG196),0))</f>
        <v/>
      </c>
      <c r="Z196" s="38" t="str">
        <f aca="false">IF($C196="","",IF($T196="",INDEX(ИНФА!$M$5:$M$19,MATCH($C196,ИНФА!$I$5:$I$19,0)),0))</f>
        <v/>
      </c>
      <c r="AA196" s="38" t="str">
        <f aca="false">IF(OR($C196="",$T196=""),"",IF($V196&lt;&gt;"",$V196,INDEX(ИНФА!$N$5:$N$19,MATCH($C196,ИНФА!$I$5:$I$19,0))))</f>
        <v/>
      </c>
      <c r="AB196" s="37" t="str">
        <f aca="false">IF($C196="","",IF($T196&lt;&gt;"",IF($U196&lt;&gt;"","продано компании "&amp;$U196&amp;" в цикле "&amp;$T196,"продано Инфраструктуре в цикле "&amp;$T196),IF($D196&gt;=ИНФА!$F$5,"доход со следующего цикла","приносит доход")))</f>
        <v/>
      </c>
      <c r="AC196" s="47" t="str">
        <f aca="false">IF($C196="","",IF($F196="","",IF($E196="","укажите продавца; ",IF(OR($F196&lt;INDEX(ИНФА!$N$5:$N$19,MATCH($C196,ИНФА!$I$5:$I$19,0)),$F196&gt;INDEX(ИНФА!$M$5:$M$19,MATCH($C196,ИНФА!$I$5:$I$19,0))),"цена покупки вне коридора! ","")))&amp;IF($U196="","",IF(OR($V196="",$T196=""),"укажите цикл и цену продажи; ",IF(OR($V196&lt;INDEX(ИНФА!$N$5:$N$19,MATCH($C196,ИНФА!$I$5:$I$19,0)),$V196&gt;INDEX(ИНФА!$M$5:$M$19,MATCH($C196,ИНФА!$I$5:$I$19,0))),"цена продажи вне коридора! ","")))&amp;IF(AND($T196="",COUNTIFS($C$5:$C196,$C196,$T$5:$T196,"")&gt;INDEX(ИНФА!$Q$5:$Q$19,MATCH($C196,ИНФА!$I$5:$I$19,0))),"лотов нет! ","")&amp;IF(AND($E196&lt;&gt;"",$F196=""),"укажите цену сделки; ","")&amp;IF(AND(N($H196)&gt;0,OR($AD196="",$AD196="Профессия"),OR($H196&gt;ИНФА!$F$29,$I196&lt;INDEX(ИНФА!$N$5:$N$19,MATCH($C196,ИНФА!$I$5:$I$19,0))+ИНФА!$F$30)),"скидка больше лимита или цена ниже выкупа + 500! ","")&amp;IF($AE196="","",IF(IFERROR(INDEX($B$5:$B$204,MATCH($AE196,$A$5:$A$204,0))=$B196,TRUE()),"бизнес-пара — только со зданием другой компании; ",""))&amp;IF($Q196="","",IF(IFERROR(INDEX(НАУКА!$B$5:$B$44,MATCH($Q196,НАУКА!$A$5:$A$44,0))&lt;&gt;$B196,FALSE()),"патент другой компании — нужна лицензия или соглашение; ","")))</f>
        <v/>
      </c>
      <c r="AD196" s="44"/>
      <c r="AE196" s="44"/>
      <c r="AF196" s="38" t="str">
        <f aca="false">IF($C196="","",IF(AND($W196=1,OR($C196="Дом",$C196="Кафе")),ИНФА!$F$17*(COUNTIFS($B$5:$B196,$B196,$C$5:$C196,$C196,$W$5:$W196,1)&lt;=COUNTIFS($B$5:$B$204,$B196,$C$5:$C$204,"Парк",$W$5:$W$204,1)),0))</f>
        <v/>
      </c>
      <c r="AG196" s="38" t="str">
        <f aca="false">IF($C196="","",IF($W196=1,IF(OR(AND($AE196&lt;&gt;"",IFERROR(INDEX($W$5:$W$204,MATCH($AE196,$A$5:$A$204,0))=1,FALSE()),IFERROR(INDEX($B$5:$B$204,MATCH($AE196,$A$5:$A$204,0))&lt;&gt;$B196,FALSE())),COUNTIFS($AE$5:$AE$204,$A196,$W$5:$W$204,1,$B$5:$B$204,"&lt;&gt;"&amp;$B196)&gt;0),ИНФА!$F$31,0),0))</f>
        <v/>
      </c>
    </row>
    <row r="197" customFormat="false" ht="15" hidden="false" customHeight="false" outlineLevel="0" collapsed="false">
      <c r="A197" s="15" t="n">
        <v>193</v>
      </c>
      <c r="B197" s="44"/>
      <c r="C197" s="44"/>
      <c r="D197" s="44"/>
      <c r="E197" s="44"/>
      <c r="F197" s="43"/>
      <c r="G197" s="38" t="str">
        <f aca="false">IF($C197="","",IF($F197&lt;&gt;"",$F197,INDEX(ИНФА!$M$5:$M$19,MATCH($C197,ИНФА!$I$5:$I$19,0))))</f>
        <v/>
      </c>
      <c r="H197" s="43"/>
      <c r="I197" s="38" t="str">
        <f aca="false">IF($C197="","",G197-N(H197))</f>
        <v/>
      </c>
      <c r="J197" s="37" t="str">
        <f aca="false">IF($C197="","",INDEX(ИНФА!$J$5:$J$19,MATCH($C197,ИНФА!$I$5:$I$19,0)))</f>
        <v/>
      </c>
      <c r="K197" s="37" t="str">
        <f aca="false">IF($C197="","",INDEX(ИНФА!$K$5:$K$19,MATCH($C197,ИНФА!$I$5:$I$19,0)))</f>
        <v/>
      </c>
      <c r="L197" s="38" t="str">
        <f aca="false">IF($C197="","",INDEX(ИНФА!$O$5:$O$19,MATCH($C197,ИНФА!$I$5:$I$19,0)))</f>
        <v/>
      </c>
      <c r="M197" s="38" t="str">
        <f aca="false">IF($C197="","",INDEX(ИНФА!$P$5:$P$19,MATCH($C197,ИНФА!$I$5:$I$19,0)))</f>
        <v/>
      </c>
      <c r="N197" s="44"/>
      <c r="O197" s="48" t="n">
        <f aca="false">IF(OR($C197="",$N197=""),1,IF(AND($J197="Услуги",IFERROR(INDEX($C$5:$C$204,MATCH($N197,$A$5:$A$204,0))=INDEX(ИНФА!$L$5:$L$19,MATCH($C197,ИНФА!$I$5:$I$19,0)),FALSE()),IFERROR(INDEX($W$5:$W$204,MATCH($N197,$A$5:$A$204,0))=1,FALSE()),COUNTIF($N$5:$N197,$N197)&lt;=ИНФА!$F$16),1+ИНФА!$F$15,1))</f>
        <v>1</v>
      </c>
      <c r="P197" s="47" t="str">
        <f aca="false">IF($C197="","",IF($J197&lt;&gt;"Услуги","",IF($N197="","нет поставщика — нужен "&amp;INDEX(ИНФА!$L$5:$L$19,MATCH($C197,ИНФА!$I$5:$I$19,0)),IF($O197&gt;1,"✓ поставка работает (+50%)",IF(IFERROR(INDEX($C$5:$C$204,MATCH($N197,$A$5:$A$204,0))&lt;&gt;INDEX(ИНФА!$L$5:$L$19,MATCH($C197,ИНФА!$I$5:$I$19,0)),TRUE()),"не тот поставщик: нужен "&amp;INDEX(ИНФА!$L$5:$L$19,MATCH($C197,ИНФА!$I$5:$I$19,0)),IF(COUNTIF($N$5:$N197,$N197)&gt;ИНФА!$F$16,"поставщик перегружен","поставщик ещё не работает или продан"))))))</f>
        <v/>
      </c>
      <c r="Q197" s="44"/>
      <c r="R197" s="48" t="str">
        <f aca="false">IF($C197="","",IF($Q197="",1,IFERROR(INDEX(НАУКА!$K$5:$K$44,MATCH($Q197,НАУКА!$A$5:$A$44,0)),1)))</f>
        <v/>
      </c>
      <c r="S197" s="37" t="str">
        <f aca="false">IF($Q197="","",IFERROR(INDEX(НАУКА!$G$5:$G$44,MATCH($Q197,НАУКА!$A$5:$A$44,0)),""))</f>
        <v/>
      </c>
      <c r="T197" s="44"/>
      <c r="U197" s="44"/>
      <c r="V197" s="43"/>
      <c r="W197" s="37" t="n">
        <f aca="false">IF(OR($C197="",$D197=""),0,IF(AND($D197&lt;ИНФА!$F$5,OR($T197="",$T197&gt;=ИНФА!$F$5)),1,0))</f>
        <v>0</v>
      </c>
      <c r="X197" s="46" t="str">
        <f aca="false">IF($C197="","",INDEX(СОБЫТИЯ!$B$5:$K$8,MATCH($K197,СОБЫТИЯ!$A$5:$A$8,0),ИНФА!$F$5))</f>
        <v/>
      </c>
      <c r="Y197" s="42" t="str">
        <f aca="false">IF($C197="","",IF($W197=1,ROUND($L197*$O197*IF(AND($Q197&lt;&gt;"",$S197&lt;&gt;""),IF($S197&lt;ИНФА!$F$5,$R197,1),1)*$X197,0)-$M197+N($AF197)+N($AG197),0))</f>
        <v/>
      </c>
      <c r="Z197" s="38" t="str">
        <f aca="false">IF($C197="","",IF($T197="",INDEX(ИНФА!$M$5:$M$19,MATCH($C197,ИНФА!$I$5:$I$19,0)),0))</f>
        <v/>
      </c>
      <c r="AA197" s="38" t="str">
        <f aca="false">IF(OR($C197="",$T197=""),"",IF($V197&lt;&gt;"",$V197,INDEX(ИНФА!$N$5:$N$19,MATCH($C197,ИНФА!$I$5:$I$19,0))))</f>
        <v/>
      </c>
      <c r="AB197" s="37" t="str">
        <f aca="false">IF($C197="","",IF($T197&lt;&gt;"",IF($U197&lt;&gt;"","продано компании "&amp;$U197&amp;" в цикле "&amp;$T197,"продано Инфраструктуре в цикле "&amp;$T197),IF($D197&gt;=ИНФА!$F$5,"доход со следующего цикла","приносит доход")))</f>
        <v/>
      </c>
      <c r="AC197" s="47" t="str">
        <f aca="false">IF($C197="","",IF($F197="","",IF($E197="","укажите продавца; ",IF(OR($F197&lt;INDEX(ИНФА!$N$5:$N$19,MATCH($C197,ИНФА!$I$5:$I$19,0)),$F197&gt;INDEX(ИНФА!$M$5:$M$19,MATCH($C197,ИНФА!$I$5:$I$19,0))),"цена покупки вне коридора! ","")))&amp;IF($U197="","",IF(OR($V197="",$T197=""),"укажите цикл и цену продажи; ",IF(OR($V197&lt;INDEX(ИНФА!$N$5:$N$19,MATCH($C197,ИНФА!$I$5:$I$19,0)),$V197&gt;INDEX(ИНФА!$M$5:$M$19,MATCH($C197,ИНФА!$I$5:$I$19,0))),"цена продажи вне коридора! ","")))&amp;IF(AND($T197="",COUNTIFS($C$5:$C197,$C197,$T$5:$T197,"")&gt;INDEX(ИНФА!$Q$5:$Q$19,MATCH($C197,ИНФА!$I$5:$I$19,0))),"лотов нет! ","")&amp;IF(AND($E197&lt;&gt;"",$F197=""),"укажите цену сделки; ","")&amp;IF(AND(N($H197)&gt;0,OR($AD197="",$AD197="Профессия"),OR($H197&gt;ИНФА!$F$29,$I197&lt;INDEX(ИНФА!$N$5:$N$19,MATCH($C197,ИНФА!$I$5:$I$19,0))+ИНФА!$F$30)),"скидка больше лимита или цена ниже выкупа + 500! ","")&amp;IF($AE197="","",IF(IFERROR(INDEX($B$5:$B$204,MATCH($AE197,$A$5:$A$204,0))=$B197,TRUE()),"бизнес-пара — только со зданием другой компании; ",""))&amp;IF($Q197="","",IF(IFERROR(INDEX(НАУКА!$B$5:$B$44,MATCH($Q197,НАУКА!$A$5:$A$44,0))&lt;&gt;$B197,FALSE()),"патент другой компании — нужна лицензия или соглашение; ","")))</f>
        <v/>
      </c>
      <c r="AD197" s="44"/>
      <c r="AE197" s="44"/>
      <c r="AF197" s="38" t="str">
        <f aca="false">IF($C197="","",IF(AND($W197=1,OR($C197="Дом",$C197="Кафе")),ИНФА!$F$17*(COUNTIFS($B$5:$B197,$B197,$C$5:$C197,$C197,$W$5:$W197,1)&lt;=COUNTIFS($B$5:$B$204,$B197,$C$5:$C$204,"Парк",$W$5:$W$204,1)),0))</f>
        <v/>
      </c>
      <c r="AG197" s="38" t="str">
        <f aca="false">IF($C197="","",IF($W197=1,IF(OR(AND($AE197&lt;&gt;"",IFERROR(INDEX($W$5:$W$204,MATCH($AE197,$A$5:$A$204,0))=1,FALSE()),IFERROR(INDEX($B$5:$B$204,MATCH($AE197,$A$5:$A$204,0))&lt;&gt;$B197,FALSE())),COUNTIFS($AE$5:$AE$204,$A197,$W$5:$W$204,1,$B$5:$B$204,"&lt;&gt;"&amp;$B197)&gt;0),ИНФА!$F$31,0),0))</f>
        <v/>
      </c>
    </row>
    <row r="198" customFormat="false" ht="15" hidden="false" customHeight="false" outlineLevel="0" collapsed="false">
      <c r="A198" s="15" t="n">
        <v>194</v>
      </c>
      <c r="B198" s="44"/>
      <c r="C198" s="44"/>
      <c r="D198" s="44"/>
      <c r="E198" s="44"/>
      <c r="F198" s="43"/>
      <c r="G198" s="38" t="str">
        <f aca="false">IF($C198="","",IF($F198&lt;&gt;"",$F198,INDEX(ИНФА!$M$5:$M$19,MATCH($C198,ИНФА!$I$5:$I$19,0))))</f>
        <v/>
      </c>
      <c r="H198" s="43"/>
      <c r="I198" s="38" t="str">
        <f aca="false">IF($C198="","",G198-N(H198))</f>
        <v/>
      </c>
      <c r="J198" s="37" t="str">
        <f aca="false">IF($C198="","",INDEX(ИНФА!$J$5:$J$19,MATCH($C198,ИНФА!$I$5:$I$19,0)))</f>
        <v/>
      </c>
      <c r="K198" s="37" t="str">
        <f aca="false">IF($C198="","",INDEX(ИНФА!$K$5:$K$19,MATCH($C198,ИНФА!$I$5:$I$19,0)))</f>
        <v/>
      </c>
      <c r="L198" s="38" t="str">
        <f aca="false">IF($C198="","",INDEX(ИНФА!$O$5:$O$19,MATCH($C198,ИНФА!$I$5:$I$19,0)))</f>
        <v/>
      </c>
      <c r="M198" s="38" t="str">
        <f aca="false">IF($C198="","",INDEX(ИНФА!$P$5:$P$19,MATCH($C198,ИНФА!$I$5:$I$19,0)))</f>
        <v/>
      </c>
      <c r="N198" s="44"/>
      <c r="O198" s="48" t="n">
        <f aca="false">IF(OR($C198="",$N198=""),1,IF(AND($J198="Услуги",IFERROR(INDEX($C$5:$C$204,MATCH($N198,$A$5:$A$204,0))=INDEX(ИНФА!$L$5:$L$19,MATCH($C198,ИНФА!$I$5:$I$19,0)),FALSE()),IFERROR(INDEX($W$5:$W$204,MATCH($N198,$A$5:$A$204,0))=1,FALSE()),COUNTIF($N$5:$N198,$N198)&lt;=ИНФА!$F$16),1+ИНФА!$F$15,1))</f>
        <v>1</v>
      </c>
      <c r="P198" s="47" t="str">
        <f aca="false">IF($C198="","",IF($J198&lt;&gt;"Услуги","",IF($N198="","нет поставщика — нужен "&amp;INDEX(ИНФА!$L$5:$L$19,MATCH($C198,ИНФА!$I$5:$I$19,0)),IF($O198&gt;1,"✓ поставка работает (+50%)",IF(IFERROR(INDEX($C$5:$C$204,MATCH($N198,$A$5:$A$204,0))&lt;&gt;INDEX(ИНФА!$L$5:$L$19,MATCH($C198,ИНФА!$I$5:$I$19,0)),TRUE()),"не тот поставщик: нужен "&amp;INDEX(ИНФА!$L$5:$L$19,MATCH($C198,ИНФА!$I$5:$I$19,0)),IF(COUNTIF($N$5:$N198,$N198)&gt;ИНФА!$F$16,"поставщик перегружен","поставщик ещё не работает или продан"))))))</f>
        <v/>
      </c>
      <c r="Q198" s="44"/>
      <c r="R198" s="48" t="str">
        <f aca="false">IF($C198="","",IF($Q198="",1,IFERROR(INDEX(НАУКА!$K$5:$K$44,MATCH($Q198,НАУКА!$A$5:$A$44,0)),1)))</f>
        <v/>
      </c>
      <c r="S198" s="37" t="str">
        <f aca="false">IF($Q198="","",IFERROR(INDEX(НАУКА!$G$5:$G$44,MATCH($Q198,НАУКА!$A$5:$A$44,0)),""))</f>
        <v/>
      </c>
      <c r="T198" s="44"/>
      <c r="U198" s="44"/>
      <c r="V198" s="43"/>
      <c r="W198" s="37" t="n">
        <f aca="false">IF(OR($C198="",$D198=""),0,IF(AND($D198&lt;ИНФА!$F$5,OR($T198="",$T198&gt;=ИНФА!$F$5)),1,0))</f>
        <v>0</v>
      </c>
      <c r="X198" s="46" t="str">
        <f aca="false">IF($C198="","",INDEX(СОБЫТИЯ!$B$5:$K$8,MATCH($K198,СОБЫТИЯ!$A$5:$A$8,0),ИНФА!$F$5))</f>
        <v/>
      </c>
      <c r="Y198" s="42" t="str">
        <f aca="false">IF($C198="","",IF($W198=1,ROUND($L198*$O198*IF(AND($Q198&lt;&gt;"",$S198&lt;&gt;""),IF($S198&lt;ИНФА!$F$5,$R198,1),1)*$X198,0)-$M198+N($AF198)+N($AG198),0))</f>
        <v/>
      </c>
      <c r="Z198" s="38" t="str">
        <f aca="false">IF($C198="","",IF($T198="",INDEX(ИНФА!$M$5:$M$19,MATCH($C198,ИНФА!$I$5:$I$19,0)),0))</f>
        <v/>
      </c>
      <c r="AA198" s="38" t="str">
        <f aca="false">IF(OR($C198="",$T198=""),"",IF($V198&lt;&gt;"",$V198,INDEX(ИНФА!$N$5:$N$19,MATCH($C198,ИНФА!$I$5:$I$19,0))))</f>
        <v/>
      </c>
      <c r="AB198" s="37" t="str">
        <f aca="false">IF($C198="","",IF($T198&lt;&gt;"",IF($U198&lt;&gt;"","продано компании "&amp;$U198&amp;" в цикле "&amp;$T198,"продано Инфраструктуре в цикле "&amp;$T198),IF($D198&gt;=ИНФА!$F$5,"доход со следующего цикла","приносит доход")))</f>
        <v/>
      </c>
      <c r="AC198" s="47" t="str">
        <f aca="false">IF($C198="","",IF($F198="","",IF($E198="","укажите продавца; ",IF(OR($F198&lt;INDEX(ИНФА!$N$5:$N$19,MATCH($C198,ИНФА!$I$5:$I$19,0)),$F198&gt;INDEX(ИНФА!$M$5:$M$19,MATCH($C198,ИНФА!$I$5:$I$19,0))),"цена покупки вне коридора! ","")))&amp;IF($U198="","",IF(OR($V198="",$T198=""),"укажите цикл и цену продажи; ",IF(OR($V198&lt;INDEX(ИНФА!$N$5:$N$19,MATCH($C198,ИНФА!$I$5:$I$19,0)),$V198&gt;INDEX(ИНФА!$M$5:$M$19,MATCH($C198,ИНФА!$I$5:$I$19,0))),"цена продажи вне коридора! ","")))&amp;IF(AND($T198="",COUNTIFS($C$5:$C198,$C198,$T$5:$T198,"")&gt;INDEX(ИНФА!$Q$5:$Q$19,MATCH($C198,ИНФА!$I$5:$I$19,0))),"лотов нет! ","")&amp;IF(AND($E198&lt;&gt;"",$F198=""),"укажите цену сделки; ","")&amp;IF(AND(N($H198)&gt;0,OR($AD198="",$AD198="Профессия"),OR($H198&gt;ИНФА!$F$29,$I198&lt;INDEX(ИНФА!$N$5:$N$19,MATCH($C198,ИНФА!$I$5:$I$19,0))+ИНФА!$F$30)),"скидка больше лимита или цена ниже выкупа + 500! ","")&amp;IF($AE198="","",IF(IFERROR(INDEX($B$5:$B$204,MATCH($AE198,$A$5:$A$204,0))=$B198,TRUE()),"бизнес-пара — только со зданием другой компании; ",""))&amp;IF($Q198="","",IF(IFERROR(INDEX(НАУКА!$B$5:$B$44,MATCH($Q198,НАУКА!$A$5:$A$44,0))&lt;&gt;$B198,FALSE()),"патент другой компании — нужна лицензия или соглашение; ","")))</f>
        <v/>
      </c>
      <c r="AD198" s="44"/>
      <c r="AE198" s="44"/>
      <c r="AF198" s="38" t="str">
        <f aca="false">IF($C198="","",IF(AND($W198=1,OR($C198="Дом",$C198="Кафе")),ИНФА!$F$17*(COUNTIFS($B$5:$B198,$B198,$C$5:$C198,$C198,$W$5:$W198,1)&lt;=COUNTIFS($B$5:$B$204,$B198,$C$5:$C$204,"Парк",$W$5:$W$204,1)),0))</f>
        <v/>
      </c>
      <c r="AG198" s="38" t="str">
        <f aca="false">IF($C198="","",IF($W198=1,IF(OR(AND($AE198&lt;&gt;"",IFERROR(INDEX($W$5:$W$204,MATCH($AE198,$A$5:$A$204,0))=1,FALSE()),IFERROR(INDEX($B$5:$B$204,MATCH($AE198,$A$5:$A$204,0))&lt;&gt;$B198,FALSE())),COUNTIFS($AE$5:$AE$204,$A198,$W$5:$W$204,1,$B$5:$B$204,"&lt;&gt;"&amp;$B198)&gt;0),ИНФА!$F$31,0),0))</f>
        <v/>
      </c>
    </row>
    <row r="199" customFormat="false" ht="15" hidden="false" customHeight="false" outlineLevel="0" collapsed="false">
      <c r="A199" s="15" t="n">
        <v>195</v>
      </c>
      <c r="B199" s="44"/>
      <c r="C199" s="44"/>
      <c r="D199" s="44"/>
      <c r="E199" s="44"/>
      <c r="F199" s="43"/>
      <c r="G199" s="38" t="str">
        <f aca="false">IF($C199="","",IF($F199&lt;&gt;"",$F199,INDEX(ИНФА!$M$5:$M$19,MATCH($C199,ИНФА!$I$5:$I$19,0))))</f>
        <v/>
      </c>
      <c r="H199" s="43"/>
      <c r="I199" s="38" t="str">
        <f aca="false">IF($C199="","",G199-N(H199))</f>
        <v/>
      </c>
      <c r="J199" s="37" t="str">
        <f aca="false">IF($C199="","",INDEX(ИНФА!$J$5:$J$19,MATCH($C199,ИНФА!$I$5:$I$19,0)))</f>
        <v/>
      </c>
      <c r="K199" s="37" t="str">
        <f aca="false">IF($C199="","",INDEX(ИНФА!$K$5:$K$19,MATCH($C199,ИНФА!$I$5:$I$19,0)))</f>
        <v/>
      </c>
      <c r="L199" s="38" t="str">
        <f aca="false">IF($C199="","",INDEX(ИНФА!$O$5:$O$19,MATCH($C199,ИНФА!$I$5:$I$19,0)))</f>
        <v/>
      </c>
      <c r="M199" s="38" t="str">
        <f aca="false">IF($C199="","",INDEX(ИНФА!$P$5:$P$19,MATCH($C199,ИНФА!$I$5:$I$19,0)))</f>
        <v/>
      </c>
      <c r="N199" s="44"/>
      <c r="O199" s="48" t="n">
        <f aca="false">IF(OR($C199="",$N199=""),1,IF(AND($J199="Услуги",IFERROR(INDEX($C$5:$C$204,MATCH($N199,$A$5:$A$204,0))=INDEX(ИНФА!$L$5:$L$19,MATCH($C199,ИНФА!$I$5:$I$19,0)),FALSE()),IFERROR(INDEX($W$5:$W$204,MATCH($N199,$A$5:$A$204,0))=1,FALSE()),COUNTIF($N$5:$N199,$N199)&lt;=ИНФА!$F$16),1+ИНФА!$F$15,1))</f>
        <v>1</v>
      </c>
      <c r="P199" s="47" t="str">
        <f aca="false">IF($C199="","",IF($J199&lt;&gt;"Услуги","",IF($N199="","нет поставщика — нужен "&amp;INDEX(ИНФА!$L$5:$L$19,MATCH($C199,ИНФА!$I$5:$I$19,0)),IF($O199&gt;1,"✓ поставка работает (+50%)",IF(IFERROR(INDEX($C$5:$C$204,MATCH($N199,$A$5:$A$204,0))&lt;&gt;INDEX(ИНФА!$L$5:$L$19,MATCH($C199,ИНФА!$I$5:$I$19,0)),TRUE()),"не тот поставщик: нужен "&amp;INDEX(ИНФА!$L$5:$L$19,MATCH($C199,ИНФА!$I$5:$I$19,0)),IF(COUNTIF($N$5:$N199,$N199)&gt;ИНФА!$F$16,"поставщик перегружен","поставщик ещё не работает или продан"))))))</f>
        <v/>
      </c>
      <c r="Q199" s="44"/>
      <c r="R199" s="48" t="str">
        <f aca="false">IF($C199="","",IF($Q199="",1,IFERROR(INDEX(НАУКА!$K$5:$K$44,MATCH($Q199,НАУКА!$A$5:$A$44,0)),1)))</f>
        <v/>
      </c>
      <c r="S199" s="37" t="str">
        <f aca="false">IF($Q199="","",IFERROR(INDEX(НАУКА!$G$5:$G$44,MATCH($Q199,НАУКА!$A$5:$A$44,0)),""))</f>
        <v/>
      </c>
      <c r="T199" s="44"/>
      <c r="U199" s="44"/>
      <c r="V199" s="43"/>
      <c r="W199" s="37" t="n">
        <f aca="false">IF(OR($C199="",$D199=""),0,IF(AND($D199&lt;ИНФА!$F$5,OR($T199="",$T199&gt;=ИНФА!$F$5)),1,0))</f>
        <v>0</v>
      </c>
      <c r="X199" s="46" t="str">
        <f aca="false">IF($C199="","",INDEX(СОБЫТИЯ!$B$5:$K$8,MATCH($K199,СОБЫТИЯ!$A$5:$A$8,0),ИНФА!$F$5))</f>
        <v/>
      </c>
      <c r="Y199" s="42" t="str">
        <f aca="false">IF($C199="","",IF($W199=1,ROUND($L199*$O199*IF(AND($Q199&lt;&gt;"",$S199&lt;&gt;""),IF($S199&lt;ИНФА!$F$5,$R199,1),1)*$X199,0)-$M199+N($AF199)+N($AG199),0))</f>
        <v/>
      </c>
      <c r="Z199" s="38" t="str">
        <f aca="false">IF($C199="","",IF($T199="",INDEX(ИНФА!$M$5:$M$19,MATCH($C199,ИНФА!$I$5:$I$19,0)),0))</f>
        <v/>
      </c>
      <c r="AA199" s="38" t="str">
        <f aca="false">IF(OR($C199="",$T199=""),"",IF($V199&lt;&gt;"",$V199,INDEX(ИНФА!$N$5:$N$19,MATCH($C199,ИНФА!$I$5:$I$19,0))))</f>
        <v/>
      </c>
      <c r="AB199" s="37" t="str">
        <f aca="false">IF($C199="","",IF($T199&lt;&gt;"",IF($U199&lt;&gt;"","продано компании "&amp;$U199&amp;" в цикле "&amp;$T199,"продано Инфраструктуре в цикле "&amp;$T199),IF($D199&gt;=ИНФА!$F$5,"доход со следующего цикла","приносит доход")))</f>
        <v/>
      </c>
      <c r="AC199" s="47" t="str">
        <f aca="false">IF($C199="","",IF($F199="","",IF($E199="","укажите продавца; ",IF(OR($F199&lt;INDEX(ИНФА!$N$5:$N$19,MATCH($C199,ИНФА!$I$5:$I$19,0)),$F199&gt;INDEX(ИНФА!$M$5:$M$19,MATCH($C199,ИНФА!$I$5:$I$19,0))),"цена покупки вне коридора! ","")))&amp;IF($U199="","",IF(OR($V199="",$T199=""),"укажите цикл и цену продажи; ",IF(OR($V199&lt;INDEX(ИНФА!$N$5:$N$19,MATCH($C199,ИНФА!$I$5:$I$19,0)),$V199&gt;INDEX(ИНФА!$M$5:$M$19,MATCH($C199,ИНФА!$I$5:$I$19,0))),"цена продажи вне коридора! ","")))&amp;IF(AND($T199="",COUNTIFS($C$5:$C199,$C199,$T$5:$T199,"")&gt;INDEX(ИНФА!$Q$5:$Q$19,MATCH($C199,ИНФА!$I$5:$I$19,0))),"лотов нет! ","")&amp;IF(AND($E199&lt;&gt;"",$F199=""),"укажите цену сделки; ","")&amp;IF(AND(N($H199)&gt;0,OR($AD199="",$AD199="Профессия"),OR($H199&gt;ИНФА!$F$29,$I199&lt;INDEX(ИНФА!$N$5:$N$19,MATCH($C199,ИНФА!$I$5:$I$19,0))+ИНФА!$F$30)),"скидка больше лимита или цена ниже выкупа + 500! ","")&amp;IF($AE199="","",IF(IFERROR(INDEX($B$5:$B$204,MATCH($AE199,$A$5:$A$204,0))=$B199,TRUE()),"бизнес-пара — только со зданием другой компании; ",""))&amp;IF($Q199="","",IF(IFERROR(INDEX(НАУКА!$B$5:$B$44,MATCH($Q199,НАУКА!$A$5:$A$44,0))&lt;&gt;$B199,FALSE()),"патент другой компании — нужна лицензия или соглашение; ","")))</f>
        <v/>
      </c>
      <c r="AD199" s="44"/>
      <c r="AE199" s="44"/>
      <c r="AF199" s="38" t="str">
        <f aca="false">IF($C199="","",IF(AND($W199=1,OR($C199="Дом",$C199="Кафе")),ИНФА!$F$17*(COUNTIFS($B$5:$B199,$B199,$C$5:$C199,$C199,$W$5:$W199,1)&lt;=COUNTIFS($B$5:$B$204,$B199,$C$5:$C$204,"Парк",$W$5:$W$204,1)),0))</f>
        <v/>
      </c>
      <c r="AG199" s="38" t="str">
        <f aca="false">IF($C199="","",IF($W199=1,IF(OR(AND($AE199&lt;&gt;"",IFERROR(INDEX($W$5:$W$204,MATCH($AE199,$A$5:$A$204,0))=1,FALSE()),IFERROR(INDEX($B$5:$B$204,MATCH($AE199,$A$5:$A$204,0))&lt;&gt;$B199,FALSE())),COUNTIFS($AE$5:$AE$204,$A199,$W$5:$W$204,1,$B$5:$B$204,"&lt;&gt;"&amp;$B199)&gt;0),ИНФА!$F$31,0),0))</f>
        <v/>
      </c>
    </row>
    <row r="200" customFormat="false" ht="15" hidden="false" customHeight="false" outlineLevel="0" collapsed="false">
      <c r="A200" s="15" t="n">
        <v>196</v>
      </c>
      <c r="B200" s="44"/>
      <c r="C200" s="44"/>
      <c r="D200" s="44"/>
      <c r="E200" s="44"/>
      <c r="F200" s="43"/>
      <c r="G200" s="38" t="str">
        <f aca="false">IF($C200="","",IF($F200&lt;&gt;"",$F200,INDEX(ИНФА!$M$5:$M$19,MATCH($C200,ИНФА!$I$5:$I$19,0))))</f>
        <v/>
      </c>
      <c r="H200" s="43"/>
      <c r="I200" s="38" t="str">
        <f aca="false">IF($C200="","",G200-N(H200))</f>
        <v/>
      </c>
      <c r="J200" s="37" t="str">
        <f aca="false">IF($C200="","",INDEX(ИНФА!$J$5:$J$19,MATCH($C200,ИНФА!$I$5:$I$19,0)))</f>
        <v/>
      </c>
      <c r="K200" s="37" t="str">
        <f aca="false">IF($C200="","",INDEX(ИНФА!$K$5:$K$19,MATCH($C200,ИНФА!$I$5:$I$19,0)))</f>
        <v/>
      </c>
      <c r="L200" s="38" t="str">
        <f aca="false">IF($C200="","",INDEX(ИНФА!$O$5:$O$19,MATCH($C200,ИНФА!$I$5:$I$19,0)))</f>
        <v/>
      </c>
      <c r="M200" s="38" t="str">
        <f aca="false">IF($C200="","",INDEX(ИНФА!$P$5:$P$19,MATCH($C200,ИНФА!$I$5:$I$19,0)))</f>
        <v/>
      </c>
      <c r="N200" s="44"/>
      <c r="O200" s="48" t="n">
        <f aca="false">IF(OR($C200="",$N200=""),1,IF(AND($J200="Услуги",IFERROR(INDEX($C$5:$C$204,MATCH($N200,$A$5:$A$204,0))=INDEX(ИНФА!$L$5:$L$19,MATCH($C200,ИНФА!$I$5:$I$19,0)),FALSE()),IFERROR(INDEX($W$5:$W$204,MATCH($N200,$A$5:$A$204,0))=1,FALSE()),COUNTIF($N$5:$N200,$N200)&lt;=ИНФА!$F$16),1+ИНФА!$F$15,1))</f>
        <v>1</v>
      </c>
      <c r="P200" s="47" t="str">
        <f aca="false">IF($C200="","",IF($J200&lt;&gt;"Услуги","",IF($N200="","нет поставщика — нужен "&amp;INDEX(ИНФА!$L$5:$L$19,MATCH($C200,ИНФА!$I$5:$I$19,0)),IF($O200&gt;1,"✓ поставка работает (+50%)",IF(IFERROR(INDEX($C$5:$C$204,MATCH($N200,$A$5:$A$204,0))&lt;&gt;INDEX(ИНФА!$L$5:$L$19,MATCH($C200,ИНФА!$I$5:$I$19,0)),TRUE()),"не тот поставщик: нужен "&amp;INDEX(ИНФА!$L$5:$L$19,MATCH($C200,ИНФА!$I$5:$I$19,0)),IF(COUNTIF($N$5:$N200,$N200)&gt;ИНФА!$F$16,"поставщик перегружен","поставщик ещё не работает или продан"))))))</f>
        <v/>
      </c>
      <c r="Q200" s="44"/>
      <c r="R200" s="48" t="str">
        <f aca="false">IF($C200="","",IF($Q200="",1,IFERROR(INDEX(НАУКА!$K$5:$K$44,MATCH($Q200,НАУКА!$A$5:$A$44,0)),1)))</f>
        <v/>
      </c>
      <c r="S200" s="37" t="str">
        <f aca="false">IF($Q200="","",IFERROR(INDEX(НАУКА!$G$5:$G$44,MATCH($Q200,НАУКА!$A$5:$A$44,0)),""))</f>
        <v/>
      </c>
      <c r="T200" s="44"/>
      <c r="U200" s="44"/>
      <c r="V200" s="43"/>
      <c r="W200" s="37" t="n">
        <f aca="false">IF(OR($C200="",$D200=""),0,IF(AND($D200&lt;ИНФА!$F$5,OR($T200="",$T200&gt;=ИНФА!$F$5)),1,0))</f>
        <v>0</v>
      </c>
      <c r="X200" s="46" t="str">
        <f aca="false">IF($C200="","",INDEX(СОБЫТИЯ!$B$5:$K$8,MATCH($K200,СОБЫТИЯ!$A$5:$A$8,0),ИНФА!$F$5))</f>
        <v/>
      </c>
      <c r="Y200" s="42" t="str">
        <f aca="false">IF($C200="","",IF($W200=1,ROUND($L200*$O200*IF(AND($Q200&lt;&gt;"",$S200&lt;&gt;""),IF($S200&lt;ИНФА!$F$5,$R200,1),1)*$X200,0)-$M200+N($AF200)+N($AG200),0))</f>
        <v/>
      </c>
      <c r="Z200" s="38" t="str">
        <f aca="false">IF($C200="","",IF($T200="",INDEX(ИНФА!$M$5:$M$19,MATCH($C200,ИНФА!$I$5:$I$19,0)),0))</f>
        <v/>
      </c>
      <c r="AA200" s="38" t="str">
        <f aca="false">IF(OR($C200="",$T200=""),"",IF($V200&lt;&gt;"",$V200,INDEX(ИНФА!$N$5:$N$19,MATCH($C200,ИНФА!$I$5:$I$19,0))))</f>
        <v/>
      </c>
      <c r="AB200" s="37" t="str">
        <f aca="false">IF($C200="","",IF($T200&lt;&gt;"",IF($U200&lt;&gt;"","продано компании "&amp;$U200&amp;" в цикле "&amp;$T200,"продано Инфраструктуре в цикле "&amp;$T200),IF($D200&gt;=ИНФА!$F$5,"доход со следующего цикла","приносит доход")))</f>
        <v/>
      </c>
      <c r="AC200" s="47" t="str">
        <f aca="false">IF($C200="","",IF($F200="","",IF($E200="","укажите продавца; ",IF(OR($F200&lt;INDEX(ИНФА!$N$5:$N$19,MATCH($C200,ИНФА!$I$5:$I$19,0)),$F200&gt;INDEX(ИНФА!$M$5:$M$19,MATCH($C200,ИНФА!$I$5:$I$19,0))),"цена покупки вне коридора! ","")))&amp;IF($U200="","",IF(OR($V200="",$T200=""),"укажите цикл и цену продажи; ",IF(OR($V200&lt;INDEX(ИНФА!$N$5:$N$19,MATCH($C200,ИНФА!$I$5:$I$19,0)),$V200&gt;INDEX(ИНФА!$M$5:$M$19,MATCH($C200,ИНФА!$I$5:$I$19,0))),"цена продажи вне коридора! ","")))&amp;IF(AND($T200="",COUNTIFS($C$5:$C200,$C200,$T$5:$T200,"")&gt;INDEX(ИНФА!$Q$5:$Q$19,MATCH($C200,ИНФА!$I$5:$I$19,0))),"лотов нет! ","")&amp;IF(AND($E200&lt;&gt;"",$F200=""),"укажите цену сделки; ","")&amp;IF(AND(N($H200)&gt;0,OR($AD200="",$AD200="Профессия"),OR($H200&gt;ИНФА!$F$29,$I200&lt;INDEX(ИНФА!$N$5:$N$19,MATCH($C200,ИНФА!$I$5:$I$19,0))+ИНФА!$F$30)),"скидка больше лимита или цена ниже выкупа + 500! ","")&amp;IF($AE200="","",IF(IFERROR(INDEX($B$5:$B$204,MATCH($AE200,$A$5:$A$204,0))=$B200,TRUE()),"бизнес-пара — только со зданием другой компании; ",""))&amp;IF($Q200="","",IF(IFERROR(INDEX(НАУКА!$B$5:$B$44,MATCH($Q200,НАУКА!$A$5:$A$44,0))&lt;&gt;$B200,FALSE()),"патент другой компании — нужна лицензия или соглашение; ","")))</f>
        <v/>
      </c>
      <c r="AD200" s="44"/>
      <c r="AE200" s="44"/>
      <c r="AF200" s="38" t="str">
        <f aca="false">IF($C200="","",IF(AND($W200=1,OR($C200="Дом",$C200="Кафе")),ИНФА!$F$17*(COUNTIFS($B$5:$B200,$B200,$C$5:$C200,$C200,$W$5:$W200,1)&lt;=COUNTIFS($B$5:$B$204,$B200,$C$5:$C$204,"Парк",$W$5:$W$204,1)),0))</f>
        <v/>
      </c>
      <c r="AG200" s="38" t="str">
        <f aca="false">IF($C200="","",IF($W200=1,IF(OR(AND($AE200&lt;&gt;"",IFERROR(INDEX($W$5:$W$204,MATCH($AE200,$A$5:$A$204,0))=1,FALSE()),IFERROR(INDEX($B$5:$B$204,MATCH($AE200,$A$5:$A$204,0))&lt;&gt;$B200,FALSE())),COUNTIFS($AE$5:$AE$204,$A200,$W$5:$W$204,1,$B$5:$B$204,"&lt;&gt;"&amp;$B200)&gt;0),ИНФА!$F$31,0),0))</f>
        <v/>
      </c>
    </row>
    <row r="201" customFormat="false" ht="15" hidden="false" customHeight="false" outlineLevel="0" collapsed="false">
      <c r="A201" s="15" t="n">
        <v>197</v>
      </c>
      <c r="B201" s="44"/>
      <c r="C201" s="44"/>
      <c r="D201" s="44"/>
      <c r="E201" s="44"/>
      <c r="F201" s="43"/>
      <c r="G201" s="38" t="str">
        <f aca="false">IF($C201="","",IF($F201&lt;&gt;"",$F201,INDEX(ИНФА!$M$5:$M$19,MATCH($C201,ИНФА!$I$5:$I$19,0))))</f>
        <v/>
      </c>
      <c r="H201" s="43"/>
      <c r="I201" s="38" t="str">
        <f aca="false">IF($C201="","",G201-N(H201))</f>
        <v/>
      </c>
      <c r="J201" s="37" t="str">
        <f aca="false">IF($C201="","",INDEX(ИНФА!$J$5:$J$19,MATCH($C201,ИНФА!$I$5:$I$19,0)))</f>
        <v/>
      </c>
      <c r="K201" s="37" t="str">
        <f aca="false">IF($C201="","",INDEX(ИНФА!$K$5:$K$19,MATCH($C201,ИНФА!$I$5:$I$19,0)))</f>
        <v/>
      </c>
      <c r="L201" s="38" t="str">
        <f aca="false">IF($C201="","",INDEX(ИНФА!$O$5:$O$19,MATCH($C201,ИНФА!$I$5:$I$19,0)))</f>
        <v/>
      </c>
      <c r="M201" s="38" t="str">
        <f aca="false">IF($C201="","",INDEX(ИНФА!$P$5:$P$19,MATCH($C201,ИНФА!$I$5:$I$19,0)))</f>
        <v/>
      </c>
      <c r="N201" s="44"/>
      <c r="O201" s="48" t="n">
        <f aca="false">IF(OR($C201="",$N201=""),1,IF(AND($J201="Услуги",IFERROR(INDEX($C$5:$C$204,MATCH($N201,$A$5:$A$204,0))=INDEX(ИНФА!$L$5:$L$19,MATCH($C201,ИНФА!$I$5:$I$19,0)),FALSE()),IFERROR(INDEX($W$5:$W$204,MATCH($N201,$A$5:$A$204,0))=1,FALSE()),COUNTIF($N$5:$N201,$N201)&lt;=ИНФА!$F$16),1+ИНФА!$F$15,1))</f>
        <v>1</v>
      </c>
      <c r="P201" s="47" t="str">
        <f aca="false">IF($C201="","",IF($J201&lt;&gt;"Услуги","",IF($N201="","нет поставщика — нужен "&amp;INDEX(ИНФА!$L$5:$L$19,MATCH($C201,ИНФА!$I$5:$I$19,0)),IF($O201&gt;1,"✓ поставка работает (+50%)",IF(IFERROR(INDEX($C$5:$C$204,MATCH($N201,$A$5:$A$204,0))&lt;&gt;INDEX(ИНФА!$L$5:$L$19,MATCH($C201,ИНФА!$I$5:$I$19,0)),TRUE()),"не тот поставщик: нужен "&amp;INDEX(ИНФА!$L$5:$L$19,MATCH($C201,ИНФА!$I$5:$I$19,0)),IF(COUNTIF($N$5:$N201,$N201)&gt;ИНФА!$F$16,"поставщик перегружен","поставщик ещё не работает или продан"))))))</f>
        <v/>
      </c>
      <c r="Q201" s="44"/>
      <c r="R201" s="48" t="str">
        <f aca="false">IF($C201="","",IF($Q201="",1,IFERROR(INDEX(НАУКА!$K$5:$K$44,MATCH($Q201,НАУКА!$A$5:$A$44,0)),1)))</f>
        <v/>
      </c>
      <c r="S201" s="37" t="str">
        <f aca="false">IF($Q201="","",IFERROR(INDEX(НАУКА!$G$5:$G$44,MATCH($Q201,НАУКА!$A$5:$A$44,0)),""))</f>
        <v/>
      </c>
      <c r="T201" s="44"/>
      <c r="U201" s="44"/>
      <c r="V201" s="43"/>
      <c r="W201" s="37" t="n">
        <f aca="false">IF(OR($C201="",$D201=""),0,IF(AND($D201&lt;ИНФА!$F$5,OR($T201="",$T201&gt;=ИНФА!$F$5)),1,0))</f>
        <v>0</v>
      </c>
      <c r="X201" s="46" t="str">
        <f aca="false">IF($C201="","",INDEX(СОБЫТИЯ!$B$5:$K$8,MATCH($K201,СОБЫТИЯ!$A$5:$A$8,0),ИНФА!$F$5))</f>
        <v/>
      </c>
      <c r="Y201" s="42" t="str">
        <f aca="false">IF($C201="","",IF($W201=1,ROUND($L201*$O201*IF(AND($Q201&lt;&gt;"",$S201&lt;&gt;""),IF($S201&lt;ИНФА!$F$5,$R201,1),1)*$X201,0)-$M201+N($AF201)+N($AG201),0))</f>
        <v/>
      </c>
      <c r="Z201" s="38" t="str">
        <f aca="false">IF($C201="","",IF($T201="",INDEX(ИНФА!$M$5:$M$19,MATCH($C201,ИНФА!$I$5:$I$19,0)),0))</f>
        <v/>
      </c>
      <c r="AA201" s="38" t="str">
        <f aca="false">IF(OR($C201="",$T201=""),"",IF($V201&lt;&gt;"",$V201,INDEX(ИНФА!$N$5:$N$19,MATCH($C201,ИНФА!$I$5:$I$19,0))))</f>
        <v/>
      </c>
      <c r="AB201" s="37" t="str">
        <f aca="false">IF($C201="","",IF($T201&lt;&gt;"",IF($U201&lt;&gt;"","продано компании "&amp;$U201&amp;" в цикле "&amp;$T201,"продано Инфраструктуре в цикле "&amp;$T201),IF($D201&gt;=ИНФА!$F$5,"доход со следующего цикла","приносит доход")))</f>
        <v/>
      </c>
      <c r="AC201" s="47" t="str">
        <f aca="false">IF($C201="","",IF($F201="","",IF($E201="","укажите продавца; ",IF(OR($F201&lt;INDEX(ИНФА!$N$5:$N$19,MATCH($C201,ИНФА!$I$5:$I$19,0)),$F201&gt;INDEX(ИНФА!$M$5:$M$19,MATCH($C201,ИНФА!$I$5:$I$19,0))),"цена покупки вне коридора! ","")))&amp;IF($U201="","",IF(OR($V201="",$T201=""),"укажите цикл и цену продажи; ",IF(OR($V201&lt;INDEX(ИНФА!$N$5:$N$19,MATCH($C201,ИНФА!$I$5:$I$19,0)),$V201&gt;INDEX(ИНФА!$M$5:$M$19,MATCH($C201,ИНФА!$I$5:$I$19,0))),"цена продажи вне коридора! ","")))&amp;IF(AND($T201="",COUNTIFS($C$5:$C201,$C201,$T$5:$T201,"")&gt;INDEX(ИНФА!$Q$5:$Q$19,MATCH($C201,ИНФА!$I$5:$I$19,0))),"лотов нет! ","")&amp;IF(AND($E201&lt;&gt;"",$F201=""),"укажите цену сделки; ","")&amp;IF(AND(N($H201)&gt;0,OR($AD201="",$AD201="Профессия"),OR($H201&gt;ИНФА!$F$29,$I201&lt;INDEX(ИНФА!$N$5:$N$19,MATCH($C201,ИНФА!$I$5:$I$19,0))+ИНФА!$F$30)),"скидка больше лимита или цена ниже выкупа + 500! ","")&amp;IF($AE201="","",IF(IFERROR(INDEX($B$5:$B$204,MATCH($AE201,$A$5:$A$204,0))=$B201,TRUE()),"бизнес-пара — только со зданием другой компании; ",""))&amp;IF($Q201="","",IF(IFERROR(INDEX(НАУКА!$B$5:$B$44,MATCH($Q201,НАУКА!$A$5:$A$44,0))&lt;&gt;$B201,FALSE()),"патент другой компании — нужна лицензия или соглашение; ","")))</f>
        <v/>
      </c>
      <c r="AD201" s="44"/>
      <c r="AE201" s="44"/>
      <c r="AF201" s="38" t="str">
        <f aca="false">IF($C201="","",IF(AND($W201=1,OR($C201="Дом",$C201="Кафе")),ИНФА!$F$17*(COUNTIFS($B$5:$B201,$B201,$C$5:$C201,$C201,$W$5:$W201,1)&lt;=COUNTIFS($B$5:$B$204,$B201,$C$5:$C$204,"Парк",$W$5:$W$204,1)),0))</f>
        <v/>
      </c>
      <c r="AG201" s="38" t="str">
        <f aca="false">IF($C201="","",IF($W201=1,IF(OR(AND($AE201&lt;&gt;"",IFERROR(INDEX($W$5:$W$204,MATCH($AE201,$A$5:$A$204,0))=1,FALSE()),IFERROR(INDEX($B$5:$B$204,MATCH($AE201,$A$5:$A$204,0))&lt;&gt;$B201,FALSE())),COUNTIFS($AE$5:$AE$204,$A201,$W$5:$W$204,1,$B$5:$B$204,"&lt;&gt;"&amp;$B201)&gt;0),ИНФА!$F$31,0),0))</f>
        <v/>
      </c>
    </row>
    <row r="202" customFormat="false" ht="15" hidden="false" customHeight="false" outlineLevel="0" collapsed="false">
      <c r="A202" s="15" t="n">
        <v>198</v>
      </c>
      <c r="B202" s="44"/>
      <c r="C202" s="44"/>
      <c r="D202" s="44"/>
      <c r="E202" s="44"/>
      <c r="F202" s="43"/>
      <c r="G202" s="38" t="str">
        <f aca="false">IF($C202="","",IF($F202&lt;&gt;"",$F202,INDEX(ИНФА!$M$5:$M$19,MATCH($C202,ИНФА!$I$5:$I$19,0))))</f>
        <v/>
      </c>
      <c r="H202" s="43"/>
      <c r="I202" s="38" t="str">
        <f aca="false">IF($C202="","",G202-N(H202))</f>
        <v/>
      </c>
      <c r="J202" s="37" t="str">
        <f aca="false">IF($C202="","",INDEX(ИНФА!$J$5:$J$19,MATCH($C202,ИНФА!$I$5:$I$19,0)))</f>
        <v/>
      </c>
      <c r="K202" s="37" t="str">
        <f aca="false">IF($C202="","",INDEX(ИНФА!$K$5:$K$19,MATCH($C202,ИНФА!$I$5:$I$19,0)))</f>
        <v/>
      </c>
      <c r="L202" s="38" t="str">
        <f aca="false">IF($C202="","",INDEX(ИНФА!$O$5:$O$19,MATCH($C202,ИНФА!$I$5:$I$19,0)))</f>
        <v/>
      </c>
      <c r="M202" s="38" t="str">
        <f aca="false">IF($C202="","",INDEX(ИНФА!$P$5:$P$19,MATCH($C202,ИНФА!$I$5:$I$19,0)))</f>
        <v/>
      </c>
      <c r="N202" s="44"/>
      <c r="O202" s="48" t="n">
        <f aca="false">IF(OR($C202="",$N202=""),1,IF(AND($J202="Услуги",IFERROR(INDEX($C$5:$C$204,MATCH($N202,$A$5:$A$204,0))=INDEX(ИНФА!$L$5:$L$19,MATCH($C202,ИНФА!$I$5:$I$19,0)),FALSE()),IFERROR(INDEX($W$5:$W$204,MATCH($N202,$A$5:$A$204,0))=1,FALSE()),COUNTIF($N$5:$N202,$N202)&lt;=ИНФА!$F$16),1+ИНФА!$F$15,1))</f>
        <v>1</v>
      </c>
      <c r="P202" s="47" t="str">
        <f aca="false">IF($C202="","",IF($J202&lt;&gt;"Услуги","",IF($N202="","нет поставщика — нужен "&amp;INDEX(ИНФА!$L$5:$L$19,MATCH($C202,ИНФА!$I$5:$I$19,0)),IF($O202&gt;1,"✓ поставка работает (+50%)",IF(IFERROR(INDEX($C$5:$C$204,MATCH($N202,$A$5:$A$204,0))&lt;&gt;INDEX(ИНФА!$L$5:$L$19,MATCH($C202,ИНФА!$I$5:$I$19,0)),TRUE()),"не тот поставщик: нужен "&amp;INDEX(ИНФА!$L$5:$L$19,MATCH($C202,ИНФА!$I$5:$I$19,0)),IF(COUNTIF($N$5:$N202,$N202)&gt;ИНФА!$F$16,"поставщик перегружен","поставщик ещё не работает или продан"))))))</f>
        <v/>
      </c>
      <c r="Q202" s="44"/>
      <c r="R202" s="48" t="str">
        <f aca="false">IF($C202="","",IF($Q202="",1,IFERROR(INDEX(НАУКА!$K$5:$K$44,MATCH($Q202,НАУКА!$A$5:$A$44,0)),1)))</f>
        <v/>
      </c>
      <c r="S202" s="37" t="str">
        <f aca="false">IF($Q202="","",IFERROR(INDEX(НАУКА!$G$5:$G$44,MATCH($Q202,НАУКА!$A$5:$A$44,0)),""))</f>
        <v/>
      </c>
      <c r="T202" s="44"/>
      <c r="U202" s="44"/>
      <c r="V202" s="43"/>
      <c r="W202" s="37" t="n">
        <f aca="false">IF(OR($C202="",$D202=""),0,IF(AND($D202&lt;ИНФА!$F$5,OR($T202="",$T202&gt;=ИНФА!$F$5)),1,0))</f>
        <v>0</v>
      </c>
      <c r="X202" s="46" t="str">
        <f aca="false">IF($C202="","",INDEX(СОБЫТИЯ!$B$5:$K$8,MATCH($K202,СОБЫТИЯ!$A$5:$A$8,0),ИНФА!$F$5))</f>
        <v/>
      </c>
      <c r="Y202" s="42" t="str">
        <f aca="false">IF($C202="","",IF($W202=1,ROUND($L202*$O202*IF(AND($Q202&lt;&gt;"",$S202&lt;&gt;""),IF($S202&lt;ИНФА!$F$5,$R202,1),1)*$X202,0)-$M202+N($AF202)+N($AG202),0))</f>
        <v/>
      </c>
      <c r="Z202" s="38" t="str">
        <f aca="false">IF($C202="","",IF($T202="",INDEX(ИНФА!$M$5:$M$19,MATCH($C202,ИНФА!$I$5:$I$19,0)),0))</f>
        <v/>
      </c>
      <c r="AA202" s="38" t="str">
        <f aca="false">IF(OR($C202="",$T202=""),"",IF($V202&lt;&gt;"",$V202,INDEX(ИНФА!$N$5:$N$19,MATCH($C202,ИНФА!$I$5:$I$19,0))))</f>
        <v/>
      </c>
      <c r="AB202" s="37" t="str">
        <f aca="false">IF($C202="","",IF($T202&lt;&gt;"",IF($U202&lt;&gt;"","продано компании "&amp;$U202&amp;" в цикле "&amp;$T202,"продано Инфраструктуре в цикле "&amp;$T202),IF($D202&gt;=ИНФА!$F$5,"доход со следующего цикла","приносит доход")))</f>
        <v/>
      </c>
      <c r="AC202" s="47" t="str">
        <f aca="false">IF($C202="","",IF($F202="","",IF($E202="","укажите продавца; ",IF(OR($F202&lt;INDEX(ИНФА!$N$5:$N$19,MATCH($C202,ИНФА!$I$5:$I$19,0)),$F202&gt;INDEX(ИНФА!$M$5:$M$19,MATCH($C202,ИНФА!$I$5:$I$19,0))),"цена покупки вне коридора! ","")))&amp;IF($U202="","",IF(OR($V202="",$T202=""),"укажите цикл и цену продажи; ",IF(OR($V202&lt;INDEX(ИНФА!$N$5:$N$19,MATCH($C202,ИНФА!$I$5:$I$19,0)),$V202&gt;INDEX(ИНФА!$M$5:$M$19,MATCH($C202,ИНФА!$I$5:$I$19,0))),"цена продажи вне коридора! ","")))&amp;IF(AND($T202="",COUNTIFS($C$5:$C202,$C202,$T$5:$T202,"")&gt;INDEX(ИНФА!$Q$5:$Q$19,MATCH($C202,ИНФА!$I$5:$I$19,0))),"лотов нет! ","")&amp;IF(AND($E202&lt;&gt;"",$F202=""),"укажите цену сделки; ","")&amp;IF(AND(N($H202)&gt;0,OR($AD202="",$AD202="Профессия"),OR($H202&gt;ИНФА!$F$29,$I202&lt;INDEX(ИНФА!$N$5:$N$19,MATCH($C202,ИНФА!$I$5:$I$19,0))+ИНФА!$F$30)),"скидка больше лимита или цена ниже выкупа + 500! ","")&amp;IF($AE202="","",IF(IFERROR(INDEX($B$5:$B$204,MATCH($AE202,$A$5:$A$204,0))=$B202,TRUE()),"бизнес-пара — только со зданием другой компании; ",""))&amp;IF($Q202="","",IF(IFERROR(INDEX(НАУКА!$B$5:$B$44,MATCH($Q202,НАУКА!$A$5:$A$44,0))&lt;&gt;$B202,FALSE()),"патент другой компании — нужна лицензия или соглашение; ","")))</f>
        <v/>
      </c>
      <c r="AD202" s="44"/>
      <c r="AE202" s="44"/>
      <c r="AF202" s="38" t="str">
        <f aca="false">IF($C202="","",IF(AND($W202=1,OR($C202="Дом",$C202="Кафе")),ИНФА!$F$17*(COUNTIFS($B$5:$B202,$B202,$C$5:$C202,$C202,$W$5:$W202,1)&lt;=COUNTIFS($B$5:$B$204,$B202,$C$5:$C$204,"Парк",$W$5:$W$204,1)),0))</f>
        <v/>
      </c>
      <c r="AG202" s="38" t="str">
        <f aca="false">IF($C202="","",IF($W202=1,IF(OR(AND($AE202&lt;&gt;"",IFERROR(INDEX($W$5:$W$204,MATCH($AE202,$A$5:$A$204,0))=1,FALSE()),IFERROR(INDEX($B$5:$B$204,MATCH($AE202,$A$5:$A$204,0))&lt;&gt;$B202,FALSE())),COUNTIFS($AE$5:$AE$204,$A202,$W$5:$W$204,1,$B$5:$B$204,"&lt;&gt;"&amp;$B202)&gt;0),ИНФА!$F$31,0),0))</f>
        <v/>
      </c>
    </row>
    <row r="203" customFormat="false" ht="15" hidden="false" customHeight="false" outlineLevel="0" collapsed="false">
      <c r="A203" s="15" t="n">
        <v>199</v>
      </c>
      <c r="B203" s="44"/>
      <c r="C203" s="44"/>
      <c r="D203" s="44"/>
      <c r="E203" s="44"/>
      <c r="F203" s="43"/>
      <c r="G203" s="38" t="str">
        <f aca="false">IF($C203="","",IF($F203&lt;&gt;"",$F203,INDEX(ИНФА!$M$5:$M$19,MATCH($C203,ИНФА!$I$5:$I$19,0))))</f>
        <v/>
      </c>
      <c r="H203" s="43"/>
      <c r="I203" s="38" t="str">
        <f aca="false">IF($C203="","",G203-N(H203))</f>
        <v/>
      </c>
      <c r="J203" s="37" t="str">
        <f aca="false">IF($C203="","",INDEX(ИНФА!$J$5:$J$19,MATCH($C203,ИНФА!$I$5:$I$19,0)))</f>
        <v/>
      </c>
      <c r="K203" s="37" t="str">
        <f aca="false">IF($C203="","",INDEX(ИНФА!$K$5:$K$19,MATCH($C203,ИНФА!$I$5:$I$19,0)))</f>
        <v/>
      </c>
      <c r="L203" s="38" t="str">
        <f aca="false">IF($C203="","",INDEX(ИНФА!$O$5:$O$19,MATCH($C203,ИНФА!$I$5:$I$19,0)))</f>
        <v/>
      </c>
      <c r="M203" s="38" t="str">
        <f aca="false">IF($C203="","",INDEX(ИНФА!$P$5:$P$19,MATCH($C203,ИНФА!$I$5:$I$19,0)))</f>
        <v/>
      </c>
      <c r="N203" s="44"/>
      <c r="O203" s="48" t="n">
        <f aca="false">IF(OR($C203="",$N203=""),1,IF(AND($J203="Услуги",IFERROR(INDEX($C$5:$C$204,MATCH($N203,$A$5:$A$204,0))=INDEX(ИНФА!$L$5:$L$19,MATCH($C203,ИНФА!$I$5:$I$19,0)),FALSE()),IFERROR(INDEX($W$5:$W$204,MATCH($N203,$A$5:$A$204,0))=1,FALSE()),COUNTIF($N$5:$N203,$N203)&lt;=ИНФА!$F$16),1+ИНФА!$F$15,1))</f>
        <v>1</v>
      </c>
      <c r="P203" s="47" t="str">
        <f aca="false">IF($C203="","",IF($J203&lt;&gt;"Услуги","",IF($N203="","нет поставщика — нужен "&amp;INDEX(ИНФА!$L$5:$L$19,MATCH($C203,ИНФА!$I$5:$I$19,0)),IF($O203&gt;1,"✓ поставка работает (+50%)",IF(IFERROR(INDEX($C$5:$C$204,MATCH($N203,$A$5:$A$204,0))&lt;&gt;INDEX(ИНФА!$L$5:$L$19,MATCH($C203,ИНФА!$I$5:$I$19,0)),TRUE()),"не тот поставщик: нужен "&amp;INDEX(ИНФА!$L$5:$L$19,MATCH($C203,ИНФА!$I$5:$I$19,0)),IF(COUNTIF($N$5:$N203,$N203)&gt;ИНФА!$F$16,"поставщик перегружен","поставщик ещё не работает или продан"))))))</f>
        <v/>
      </c>
      <c r="Q203" s="44"/>
      <c r="R203" s="48" t="str">
        <f aca="false">IF($C203="","",IF($Q203="",1,IFERROR(INDEX(НАУКА!$K$5:$K$44,MATCH($Q203,НАУКА!$A$5:$A$44,0)),1)))</f>
        <v/>
      </c>
      <c r="S203" s="37" t="str">
        <f aca="false">IF($Q203="","",IFERROR(INDEX(НАУКА!$G$5:$G$44,MATCH($Q203,НАУКА!$A$5:$A$44,0)),""))</f>
        <v/>
      </c>
      <c r="T203" s="44"/>
      <c r="U203" s="44"/>
      <c r="V203" s="43"/>
      <c r="W203" s="37" t="n">
        <f aca="false">IF(OR($C203="",$D203=""),0,IF(AND($D203&lt;ИНФА!$F$5,OR($T203="",$T203&gt;=ИНФА!$F$5)),1,0))</f>
        <v>0</v>
      </c>
      <c r="X203" s="46" t="str">
        <f aca="false">IF($C203="","",INDEX(СОБЫТИЯ!$B$5:$K$8,MATCH($K203,СОБЫТИЯ!$A$5:$A$8,0),ИНФА!$F$5))</f>
        <v/>
      </c>
      <c r="Y203" s="42" t="str">
        <f aca="false">IF($C203="","",IF($W203=1,ROUND($L203*$O203*IF(AND($Q203&lt;&gt;"",$S203&lt;&gt;""),IF($S203&lt;ИНФА!$F$5,$R203,1),1)*$X203,0)-$M203+N($AF203)+N($AG203),0))</f>
        <v/>
      </c>
      <c r="Z203" s="38" t="str">
        <f aca="false">IF($C203="","",IF($T203="",INDEX(ИНФА!$M$5:$M$19,MATCH($C203,ИНФА!$I$5:$I$19,0)),0))</f>
        <v/>
      </c>
      <c r="AA203" s="38" t="str">
        <f aca="false">IF(OR($C203="",$T203=""),"",IF($V203&lt;&gt;"",$V203,INDEX(ИНФА!$N$5:$N$19,MATCH($C203,ИНФА!$I$5:$I$19,0))))</f>
        <v/>
      </c>
      <c r="AB203" s="37" t="str">
        <f aca="false">IF($C203="","",IF($T203&lt;&gt;"",IF($U203&lt;&gt;"","продано компании "&amp;$U203&amp;" в цикле "&amp;$T203,"продано Инфраструктуре в цикле "&amp;$T203),IF($D203&gt;=ИНФА!$F$5,"доход со следующего цикла","приносит доход")))</f>
        <v/>
      </c>
      <c r="AC203" s="47" t="str">
        <f aca="false">IF($C203="","",IF($F203="","",IF($E203="","укажите продавца; ",IF(OR($F203&lt;INDEX(ИНФА!$N$5:$N$19,MATCH($C203,ИНФА!$I$5:$I$19,0)),$F203&gt;INDEX(ИНФА!$M$5:$M$19,MATCH($C203,ИНФА!$I$5:$I$19,0))),"цена покупки вне коридора! ","")))&amp;IF($U203="","",IF(OR($V203="",$T203=""),"укажите цикл и цену продажи; ",IF(OR($V203&lt;INDEX(ИНФА!$N$5:$N$19,MATCH($C203,ИНФА!$I$5:$I$19,0)),$V203&gt;INDEX(ИНФА!$M$5:$M$19,MATCH($C203,ИНФА!$I$5:$I$19,0))),"цена продажи вне коридора! ","")))&amp;IF(AND($T203="",COUNTIFS($C$5:$C203,$C203,$T$5:$T203,"")&gt;INDEX(ИНФА!$Q$5:$Q$19,MATCH($C203,ИНФА!$I$5:$I$19,0))),"лотов нет! ","")&amp;IF(AND($E203&lt;&gt;"",$F203=""),"укажите цену сделки; ","")&amp;IF(AND(N($H203)&gt;0,OR($AD203="",$AD203="Профессия"),OR($H203&gt;ИНФА!$F$29,$I203&lt;INDEX(ИНФА!$N$5:$N$19,MATCH($C203,ИНФА!$I$5:$I$19,0))+ИНФА!$F$30)),"скидка больше лимита или цена ниже выкупа + 500! ","")&amp;IF($AE203="","",IF(IFERROR(INDEX($B$5:$B$204,MATCH($AE203,$A$5:$A$204,0))=$B203,TRUE()),"бизнес-пара — только со зданием другой компании; ",""))&amp;IF($Q203="","",IF(IFERROR(INDEX(НАУКА!$B$5:$B$44,MATCH($Q203,НАУКА!$A$5:$A$44,0))&lt;&gt;$B203,FALSE()),"патент другой компании — нужна лицензия или соглашение; ","")))</f>
        <v/>
      </c>
      <c r="AD203" s="44"/>
      <c r="AE203" s="44"/>
      <c r="AF203" s="38" t="str">
        <f aca="false">IF($C203="","",IF(AND($W203=1,OR($C203="Дом",$C203="Кафе")),ИНФА!$F$17*(COUNTIFS($B$5:$B203,$B203,$C$5:$C203,$C203,$W$5:$W203,1)&lt;=COUNTIFS($B$5:$B$204,$B203,$C$5:$C$204,"Парк",$W$5:$W$204,1)),0))</f>
        <v/>
      </c>
      <c r="AG203" s="38" t="str">
        <f aca="false">IF($C203="","",IF($W203=1,IF(OR(AND($AE203&lt;&gt;"",IFERROR(INDEX($W$5:$W$204,MATCH($AE203,$A$5:$A$204,0))=1,FALSE()),IFERROR(INDEX($B$5:$B$204,MATCH($AE203,$A$5:$A$204,0))&lt;&gt;$B203,FALSE())),COUNTIFS($AE$5:$AE$204,$A203,$W$5:$W$204,1,$B$5:$B$204,"&lt;&gt;"&amp;$B203)&gt;0),ИНФА!$F$31,0),0))</f>
        <v/>
      </c>
    </row>
    <row r="204" customFormat="false" ht="15" hidden="false" customHeight="false" outlineLevel="0" collapsed="false">
      <c r="A204" s="15" t="n">
        <v>200</v>
      </c>
      <c r="B204" s="44"/>
      <c r="C204" s="44"/>
      <c r="D204" s="44"/>
      <c r="E204" s="44"/>
      <c r="F204" s="43"/>
      <c r="G204" s="38" t="str">
        <f aca="false">IF($C204="","",IF($F204&lt;&gt;"",$F204,INDEX(ИНФА!$M$5:$M$19,MATCH($C204,ИНФА!$I$5:$I$19,0))))</f>
        <v/>
      </c>
      <c r="H204" s="43"/>
      <c r="I204" s="38" t="str">
        <f aca="false">IF($C204="","",G204-N(H204))</f>
        <v/>
      </c>
      <c r="J204" s="37" t="str">
        <f aca="false">IF($C204="","",INDEX(ИНФА!$J$5:$J$19,MATCH($C204,ИНФА!$I$5:$I$19,0)))</f>
        <v/>
      </c>
      <c r="K204" s="37" t="str">
        <f aca="false">IF($C204="","",INDEX(ИНФА!$K$5:$K$19,MATCH($C204,ИНФА!$I$5:$I$19,0)))</f>
        <v/>
      </c>
      <c r="L204" s="38" t="str">
        <f aca="false">IF($C204="","",INDEX(ИНФА!$O$5:$O$19,MATCH($C204,ИНФА!$I$5:$I$19,0)))</f>
        <v/>
      </c>
      <c r="M204" s="38" t="str">
        <f aca="false">IF($C204="","",INDEX(ИНФА!$P$5:$P$19,MATCH($C204,ИНФА!$I$5:$I$19,0)))</f>
        <v/>
      </c>
      <c r="N204" s="44"/>
      <c r="O204" s="48" t="n">
        <f aca="false">IF(OR($C204="",$N204=""),1,IF(AND($J204="Услуги",IFERROR(INDEX($C$5:$C$204,MATCH($N204,$A$5:$A$204,0))=INDEX(ИНФА!$L$5:$L$19,MATCH($C204,ИНФА!$I$5:$I$19,0)),FALSE()),IFERROR(INDEX($W$5:$W$204,MATCH($N204,$A$5:$A$204,0))=1,FALSE()),COUNTIF($N$5:$N204,$N204)&lt;=ИНФА!$F$16),1+ИНФА!$F$15,1))</f>
        <v>1</v>
      </c>
      <c r="P204" s="47" t="str">
        <f aca="false">IF($C204="","",IF($J204&lt;&gt;"Услуги","",IF($N204="","нет поставщика — нужен "&amp;INDEX(ИНФА!$L$5:$L$19,MATCH($C204,ИНФА!$I$5:$I$19,0)),IF($O204&gt;1,"✓ поставка работает (+50%)",IF(IFERROR(INDEX($C$5:$C$204,MATCH($N204,$A$5:$A$204,0))&lt;&gt;INDEX(ИНФА!$L$5:$L$19,MATCH($C204,ИНФА!$I$5:$I$19,0)),TRUE()),"не тот поставщик: нужен "&amp;INDEX(ИНФА!$L$5:$L$19,MATCH($C204,ИНФА!$I$5:$I$19,0)),IF(COUNTIF($N$5:$N204,$N204)&gt;ИНФА!$F$16,"поставщик перегружен","поставщик ещё не работает или продан"))))))</f>
        <v/>
      </c>
      <c r="Q204" s="44"/>
      <c r="R204" s="48" t="str">
        <f aca="false">IF($C204="","",IF($Q204="",1,IFERROR(INDEX(НАУКА!$K$5:$K$44,MATCH($Q204,НАУКА!$A$5:$A$44,0)),1)))</f>
        <v/>
      </c>
      <c r="S204" s="37" t="str">
        <f aca="false">IF($Q204="","",IFERROR(INDEX(НАУКА!$G$5:$G$44,MATCH($Q204,НАУКА!$A$5:$A$44,0)),""))</f>
        <v/>
      </c>
      <c r="T204" s="44"/>
      <c r="U204" s="44"/>
      <c r="V204" s="43"/>
      <c r="W204" s="37" t="n">
        <f aca="false">IF(OR($C204="",$D204=""),0,IF(AND($D204&lt;ИНФА!$F$5,OR($T204="",$T204&gt;=ИНФА!$F$5)),1,0))</f>
        <v>0</v>
      </c>
      <c r="X204" s="46" t="str">
        <f aca="false">IF($C204="","",INDEX(СОБЫТИЯ!$B$5:$K$8,MATCH($K204,СОБЫТИЯ!$A$5:$A$8,0),ИНФА!$F$5))</f>
        <v/>
      </c>
      <c r="Y204" s="42" t="str">
        <f aca="false">IF($C204="","",IF($W204=1,ROUND($L204*$O204*IF(AND($Q204&lt;&gt;"",$S204&lt;&gt;""),IF($S204&lt;ИНФА!$F$5,$R204,1),1)*$X204,0)-$M204+N($AF204)+N($AG204),0))</f>
        <v/>
      </c>
      <c r="Z204" s="38" t="str">
        <f aca="false">IF($C204="","",IF($T204="",INDEX(ИНФА!$M$5:$M$19,MATCH($C204,ИНФА!$I$5:$I$19,0)),0))</f>
        <v/>
      </c>
      <c r="AA204" s="38" t="str">
        <f aca="false">IF(OR($C204="",$T204=""),"",IF($V204&lt;&gt;"",$V204,INDEX(ИНФА!$N$5:$N$19,MATCH($C204,ИНФА!$I$5:$I$19,0))))</f>
        <v/>
      </c>
      <c r="AB204" s="37" t="str">
        <f aca="false">IF($C204="","",IF($T204&lt;&gt;"",IF($U204&lt;&gt;"","продано компании "&amp;$U204&amp;" в цикле "&amp;$T204,"продано Инфраструктуре в цикле "&amp;$T204),IF($D204&gt;=ИНФА!$F$5,"доход со следующего цикла","приносит доход")))</f>
        <v/>
      </c>
      <c r="AC204" s="47" t="str">
        <f aca="false">IF($C204="","",IF($F204="","",IF($E204="","укажите продавца; ",IF(OR($F204&lt;INDEX(ИНФА!$N$5:$N$19,MATCH($C204,ИНФА!$I$5:$I$19,0)),$F204&gt;INDEX(ИНФА!$M$5:$M$19,MATCH($C204,ИНФА!$I$5:$I$19,0))),"цена покупки вне коридора! ","")))&amp;IF($U204="","",IF(OR($V204="",$T204=""),"укажите цикл и цену продажи; ",IF(OR($V204&lt;INDEX(ИНФА!$N$5:$N$19,MATCH($C204,ИНФА!$I$5:$I$19,0)),$V204&gt;INDEX(ИНФА!$M$5:$M$19,MATCH($C204,ИНФА!$I$5:$I$19,0))),"цена продажи вне коридора! ","")))&amp;IF(AND($T204="",COUNTIFS($C$5:$C204,$C204,$T$5:$T204,"")&gt;INDEX(ИНФА!$Q$5:$Q$19,MATCH($C204,ИНФА!$I$5:$I$19,0))),"лотов нет! ","")&amp;IF(AND($E204&lt;&gt;"",$F204=""),"укажите цену сделки; ","")&amp;IF(AND(N($H204)&gt;0,OR($AD204="",$AD204="Профессия"),OR($H204&gt;ИНФА!$F$29,$I204&lt;INDEX(ИНФА!$N$5:$N$19,MATCH($C204,ИНФА!$I$5:$I$19,0))+ИНФА!$F$30)),"скидка больше лимита или цена ниже выкупа + 500! ","")&amp;IF($AE204="","",IF(IFERROR(INDEX($B$5:$B$204,MATCH($AE204,$A$5:$A$204,0))=$B204,TRUE()),"бизнес-пара — только со зданием другой компании; ",""))&amp;IF($Q204="","",IF(IFERROR(INDEX(НАУКА!$B$5:$B$44,MATCH($Q204,НАУКА!$A$5:$A$44,0))&lt;&gt;$B204,FALSE()),"патент другой компании — нужна лицензия или соглашение; ","")))</f>
        <v/>
      </c>
      <c r="AD204" s="44"/>
      <c r="AE204" s="44"/>
      <c r="AF204" s="38" t="str">
        <f aca="false">IF($C204="","",IF(AND($W204=1,OR($C204="Дом",$C204="Кафе")),ИНФА!$F$17*(COUNTIFS($B$5:$B204,$B204,$C$5:$C204,$C204,$W$5:$W204,1)&lt;=COUNTIFS($B$5:$B$204,$B204,$C$5:$C$204,"Парк",$W$5:$W$204,1)),0))</f>
        <v/>
      </c>
      <c r="AG204" s="38" t="str">
        <f aca="false">IF($C204="","",IF($W204=1,IF(OR(AND($AE204&lt;&gt;"",IFERROR(INDEX($W$5:$W$204,MATCH($AE204,$A$5:$A$204,0))=1,FALSE()),IFERROR(INDEX($B$5:$B$204,MATCH($AE204,$A$5:$A$204,0))&lt;&gt;$B204,FALSE())),COUNTIFS($AE$5:$AE$204,$A204,$W$5:$W$204,1,$B$5:$B$204,"&lt;&gt;"&amp;$B204)&gt;0),ИНФА!$F$31,0),0))</f>
        <v/>
      </c>
    </row>
  </sheetData>
  <dataValidations count="7">
    <dataValidation allowBlank="true" error="Целое число от 1 до 10." errorStyle="stop" operator="between" showDropDown="false" showErrorMessage="true" showInputMessage="false" sqref="D5:D204 T5:T204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AD5:AD204" type="list">
      <formula1>"Профессия,Чёрная пятница,Другое"</formula1>
      <formula2>0</formula2>
    </dataValidation>
    <dataValidation allowBlank="true" error="Целое число от 1 до 200." errorStyle="stop" operator="between" showDropDown="false" showErrorMessage="true" showInputMessage="false" sqref="N5:N204 AE5:AE204" type="whole">
      <formula1>1</formula1>
      <formula2>200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B5:B20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C5:C204" type="list">
      <formula1>ИНФА!$I$5:$I$19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E5:E20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U5:U204" type="list">
      <formula1>ИНФА!$B$5:$B$16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30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26"/>
  </cols>
  <sheetData>
    <row r="1" customFormat="false" ht="17.35" hidden="false" customHeight="false" outlineLevel="0" collapsed="false">
      <c r="A1" s="8" t="s">
        <v>287</v>
      </c>
    </row>
    <row r="2" customFormat="false" ht="15" hidden="false" customHeight="false" outlineLevel="0" collapsed="false">
      <c r="A2" s="2" t="s">
        <v>288</v>
      </c>
    </row>
    <row r="4" customFormat="false" ht="42" hidden="false" customHeight="true" outlineLevel="0" collapsed="false">
      <c r="A4" s="9" t="s">
        <v>274</v>
      </c>
      <c r="B4" s="9" t="s">
        <v>100</v>
      </c>
      <c r="C4" s="9" t="s">
        <v>289</v>
      </c>
      <c r="D4" s="9" t="s">
        <v>106</v>
      </c>
      <c r="E4" s="9" t="s">
        <v>290</v>
      </c>
      <c r="F4" s="9" t="s">
        <v>291</v>
      </c>
      <c r="G4" s="9" t="s">
        <v>240</v>
      </c>
      <c r="H4" s="9" t="s">
        <v>292</v>
      </c>
      <c r="I4" s="9" t="s">
        <v>293</v>
      </c>
      <c r="J4" s="9" t="s">
        <v>294</v>
      </c>
      <c r="K4" s="9" t="s">
        <v>295</v>
      </c>
      <c r="L4" s="9" t="s">
        <v>226</v>
      </c>
      <c r="M4" s="9" t="s">
        <v>254</v>
      </c>
    </row>
    <row r="5" customFormat="false" ht="15" hidden="false" customHeight="false" outlineLevel="0" collapsed="false">
      <c r="A5" s="36" t="str">
        <f aca="false">IF($B5="","",ROW()-4)</f>
        <v/>
      </c>
      <c r="B5" s="44"/>
      <c r="C5" s="44"/>
      <c r="D5" s="44"/>
      <c r="E5" s="49"/>
      <c r="F5" s="43"/>
      <c r="G5" s="44"/>
      <c r="H5" s="44"/>
      <c r="I5" s="44"/>
      <c r="J5" s="44"/>
      <c r="K5" s="48" t="str">
        <f aca="false">IF($B5="","",IF(AND($H5="да",$E5&lt;&gt;""),MIN($E5,ИНФА!$F$22),1))</f>
        <v/>
      </c>
      <c r="L5" s="38" t="str">
        <f aca="false">IF($B5="","",IF(AND($H5="да",$F5&lt;&gt;"",$G5&lt;ИНФА!$F$5,OR($I5="",$I5&gt;=ИНФА!$F$5)),$F5,0))</f>
        <v/>
      </c>
      <c r="M5" s="47" t="str">
        <f aca="false">IF($B5="","",IF(COUNTIFS($B$5:$B$44,$B5,$H$5:$H$44,"да")&gt;ИНФА!$F$33,"больше "&amp;ИНФА!$F$33&amp;" патентов у компании!",""))</f>
        <v/>
      </c>
    </row>
    <row r="6" customFormat="false" ht="15" hidden="false" customHeight="false" outlineLevel="0" collapsed="false">
      <c r="A6" s="36" t="str">
        <f aca="false">IF($B6="","",ROW()-4)</f>
        <v/>
      </c>
      <c r="B6" s="44"/>
      <c r="C6" s="44"/>
      <c r="D6" s="44"/>
      <c r="E6" s="49"/>
      <c r="F6" s="43"/>
      <c r="G6" s="44"/>
      <c r="H6" s="44"/>
      <c r="I6" s="44"/>
      <c r="J6" s="44"/>
      <c r="K6" s="48" t="str">
        <f aca="false">IF($B6="","",IF(AND($H6="да",$E6&lt;&gt;""),MIN($E6,ИНФА!$F$22),1))</f>
        <v/>
      </c>
      <c r="L6" s="38" t="str">
        <f aca="false">IF($B6="","",IF(AND($H6="да",$F6&lt;&gt;"",$G6&lt;ИНФА!$F$5,OR($I6="",$I6&gt;=ИНФА!$F$5)),$F6,0))</f>
        <v/>
      </c>
      <c r="M6" s="47" t="str">
        <f aca="false">IF($B6="","",IF(COUNTIFS($B$5:$B$44,$B6,$H$5:$H$44,"да")&gt;ИНФА!$F$33,"больше "&amp;ИНФА!$F$33&amp;" патентов у компании!",""))</f>
        <v/>
      </c>
    </row>
    <row r="7" customFormat="false" ht="15" hidden="false" customHeight="false" outlineLevel="0" collapsed="false">
      <c r="A7" s="36" t="str">
        <f aca="false">IF($B7="","",ROW()-4)</f>
        <v/>
      </c>
      <c r="B7" s="44"/>
      <c r="C7" s="44"/>
      <c r="D7" s="44"/>
      <c r="E7" s="49"/>
      <c r="F7" s="43"/>
      <c r="G7" s="44"/>
      <c r="H7" s="44"/>
      <c r="I7" s="44"/>
      <c r="J7" s="44"/>
      <c r="K7" s="48" t="str">
        <f aca="false">IF($B7="","",IF(AND($H7="да",$E7&lt;&gt;""),MIN($E7,ИНФА!$F$22),1))</f>
        <v/>
      </c>
      <c r="L7" s="38" t="str">
        <f aca="false">IF($B7="","",IF(AND($H7="да",$F7&lt;&gt;"",$G7&lt;ИНФА!$F$5,OR($I7="",$I7&gt;=ИНФА!$F$5)),$F7,0))</f>
        <v/>
      </c>
      <c r="M7" s="47" t="str">
        <f aca="false">IF($B7="","",IF(COUNTIFS($B$5:$B$44,$B7,$H$5:$H$44,"да")&gt;ИНФА!$F$33,"больше "&amp;ИНФА!$F$33&amp;" патентов у компании!",""))</f>
        <v/>
      </c>
    </row>
    <row r="8" customFormat="false" ht="15" hidden="false" customHeight="false" outlineLevel="0" collapsed="false">
      <c r="A8" s="36" t="str">
        <f aca="false">IF($B8="","",ROW()-4)</f>
        <v/>
      </c>
      <c r="B8" s="44"/>
      <c r="C8" s="44"/>
      <c r="D8" s="44"/>
      <c r="E8" s="49"/>
      <c r="F8" s="43"/>
      <c r="G8" s="44"/>
      <c r="H8" s="44"/>
      <c r="I8" s="44"/>
      <c r="J8" s="44"/>
      <c r="K8" s="48" t="str">
        <f aca="false">IF($B8="","",IF(AND($H8="да",$E8&lt;&gt;""),MIN($E8,ИНФА!$F$22),1))</f>
        <v/>
      </c>
      <c r="L8" s="38" t="str">
        <f aca="false">IF($B8="","",IF(AND($H8="да",$F8&lt;&gt;"",$G8&lt;ИНФА!$F$5,OR($I8="",$I8&gt;=ИНФА!$F$5)),$F8,0))</f>
        <v/>
      </c>
      <c r="M8" s="47" t="str">
        <f aca="false">IF($B8="","",IF(COUNTIFS($B$5:$B$44,$B8,$H$5:$H$44,"да")&gt;ИНФА!$F$33,"больше "&amp;ИНФА!$F$33&amp;" патентов у компании!",""))</f>
        <v/>
      </c>
    </row>
    <row r="9" customFormat="false" ht="15" hidden="false" customHeight="false" outlineLevel="0" collapsed="false">
      <c r="A9" s="36" t="str">
        <f aca="false">IF($B9="","",ROW()-4)</f>
        <v/>
      </c>
      <c r="B9" s="44"/>
      <c r="C9" s="44"/>
      <c r="D9" s="44"/>
      <c r="E9" s="49"/>
      <c r="F9" s="43"/>
      <c r="G9" s="44"/>
      <c r="H9" s="44"/>
      <c r="I9" s="44"/>
      <c r="J9" s="44"/>
      <c r="K9" s="48" t="str">
        <f aca="false">IF($B9="","",IF(AND($H9="да",$E9&lt;&gt;""),MIN($E9,ИНФА!$F$22),1))</f>
        <v/>
      </c>
      <c r="L9" s="38" t="str">
        <f aca="false">IF($B9="","",IF(AND($H9="да",$F9&lt;&gt;"",$G9&lt;ИНФА!$F$5,OR($I9="",$I9&gt;=ИНФА!$F$5)),$F9,0))</f>
        <v/>
      </c>
      <c r="M9" s="47" t="str">
        <f aca="false">IF($B9="","",IF(COUNTIFS($B$5:$B$44,$B9,$H$5:$H$44,"да")&gt;ИНФА!$F$33,"больше "&amp;ИНФА!$F$33&amp;" патентов у компании!",""))</f>
        <v/>
      </c>
    </row>
    <row r="10" customFormat="false" ht="15" hidden="false" customHeight="false" outlineLevel="0" collapsed="false">
      <c r="A10" s="36" t="str">
        <f aca="false">IF($B10="","",ROW()-4)</f>
        <v/>
      </c>
      <c r="B10" s="44"/>
      <c r="C10" s="44"/>
      <c r="D10" s="44"/>
      <c r="E10" s="49"/>
      <c r="F10" s="43"/>
      <c r="G10" s="44"/>
      <c r="H10" s="44"/>
      <c r="I10" s="44"/>
      <c r="J10" s="44"/>
      <c r="K10" s="48" t="str">
        <f aca="false">IF($B10="","",IF(AND($H10="да",$E10&lt;&gt;""),MIN($E10,ИНФА!$F$22),1))</f>
        <v/>
      </c>
      <c r="L10" s="38" t="str">
        <f aca="false">IF($B10="","",IF(AND($H10="да",$F10&lt;&gt;"",$G10&lt;ИНФА!$F$5,OR($I10="",$I10&gt;=ИНФА!$F$5)),$F10,0))</f>
        <v/>
      </c>
      <c r="M10" s="47" t="str">
        <f aca="false">IF($B10="","",IF(COUNTIFS($B$5:$B$44,$B10,$H$5:$H$44,"да")&gt;ИНФА!$F$33,"больше "&amp;ИНФА!$F$33&amp;" патентов у компании!",""))</f>
        <v/>
      </c>
    </row>
    <row r="11" customFormat="false" ht="15" hidden="false" customHeight="false" outlineLevel="0" collapsed="false">
      <c r="A11" s="36" t="str">
        <f aca="false">IF($B11="","",ROW()-4)</f>
        <v/>
      </c>
      <c r="B11" s="44"/>
      <c r="C11" s="44"/>
      <c r="D11" s="44"/>
      <c r="E11" s="49"/>
      <c r="F11" s="43"/>
      <c r="G11" s="44"/>
      <c r="H11" s="44"/>
      <c r="I11" s="44"/>
      <c r="J11" s="44"/>
      <c r="K11" s="48" t="str">
        <f aca="false">IF($B11="","",IF(AND($H11="да",$E11&lt;&gt;""),MIN($E11,ИНФА!$F$22),1))</f>
        <v/>
      </c>
      <c r="L11" s="38" t="str">
        <f aca="false">IF($B11="","",IF(AND($H11="да",$F11&lt;&gt;"",$G11&lt;ИНФА!$F$5,OR($I11="",$I11&gt;=ИНФА!$F$5)),$F11,0))</f>
        <v/>
      </c>
      <c r="M11" s="47" t="str">
        <f aca="false">IF($B11="","",IF(COUNTIFS($B$5:$B$44,$B11,$H$5:$H$44,"да")&gt;ИНФА!$F$33,"больше "&amp;ИНФА!$F$33&amp;" патентов у компании!",""))</f>
        <v/>
      </c>
    </row>
    <row r="12" customFormat="false" ht="15" hidden="false" customHeight="false" outlineLevel="0" collapsed="false">
      <c r="A12" s="36" t="str">
        <f aca="false">IF($B12="","",ROW()-4)</f>
        <v/>
      </c>
      <c r="B12" s="44"/>
      <c r="C12" s="44"/>
      <c r="D12" s="44"/>
      <c r="E12" s="49"/>
      <c r="F12" s="43"/>
      <c r="G12" s="44"/>
      <c r="H12" s="44"/>
      <c r="I12" s="44"/>
      <c r="J12" s="44"/>
      <c r="K12" s="48" t="str">
        <f aca="false">IF($B12="","",IF(AND($H12="да",$E12&lt;&gt;""),MIN($E12,ИНФА!$F$22),1))</f>
        <v/>
      </c>
      <c r="L12" s="38" t="str">
        <f aca="false">IF($B12="","",IF(AND($H12="да",$F12&lt;&gt;"",$G12&lt;ИНФА!$F$5,OR($I12="",$I12&gt;=ИНФА!$F$5)),$F12,0))</f>
        <v/>
      </c>
      <c r="M12" s="47" t="str">
        <f aca="false">IF($B12="","",IF(COUNTIFS($B$5:$B$44,$B12,$H$5:$H$44,"да")&gt;ИНФА!$F$33,"больше "&amp;ИНФА!$F$33&amp;" патентов у компании!",""))</f>
        <v/>
      </c>
    </row>
    <row r="13" customFormat="false" ht="15" hidden="false" customHeight="false" outlineLevel="0" collapsed="false">
      <c r="A13" s="36" t="str">
        <f aca="false">IF($B13="","",ROW()-4)</f>
        <v/>
      </c>
      <c r="B13" s="44"/>
      <c r="C13" s="44"/>
      <c r="D13" s="44"/>
      <c r="E13" s="49"/>
      <c r="F13" s="43"/>
      <c r="G13" s="44"/>
      <c r="H13" s="44"/>
      <c r="I13" s="44"/>
      <c r="J13" s="44"/>
      <c r="K13" s="48" t="str">
        <f aca="false">IF($B13="","",IF(AND($H13="да",$E13&lt;&gt;""),MIN($E13,ИНФА!$F$22),1))</f>
        <v/>
      </c>
      <c r="L13" s="38" t="str">
        <f aca="false">IF($B13="","",IF(AND($H13="да",$F13&lt;&gt;"",$G13&lt;ИНФА!$F$5,OR($I13="",$I13&gt;=ИНФА!$F$5)),$F13,0))</f>
        <v/>
      </c>
      <c r="M13" s="47" t="str">
        <f aca="false">IF($B13="","",IF(COUNTIFS($B$5:$B$44,$B13,$H$5:$H$44,"да")&gt;ИНФА!$F$33,"больше "&amp;ИНФА!$F$33&amp;" патентов у компании!",""))</f>
        <v/>
      </c>
    </row>
    <row r="14" customFormat="false" ht="15" hidden="false" customHeight="false" outlineLevel="0" collapsed="false">
      <c r="A14" s="36" t="str">
        <f aca="false">IF($B14="","",ROW()-4)</f>
        <v/>
      </c>
      <c r="B14" s="44"/>
      <c r="C14" s="44"/>
      <c r="D14" s="44"/>
      <c r="E14" s="49"/>
      <c r="F14" s="43"/>
      <c r="G14" s="44"/>
      <c r="H14" s="44"/>
      <c r="I14" s="44"/>
      <c r="J14" s="44"/>
      <c r="K14" s="48" t="str">
        <f aca="false">IF($B14="","",IF(AND($H14="да",$E14&lt;&gt;""),MIN($E14,ИНФА!$F$22),1))</f>
        <v/>
      </c>
      <c r="L14" s="38" t="str">
        <f aca="false">IF($B14="","",IF(AND($H14="да",$F14&lt;&gt;"",$G14&lt;ИНФА!$F$5,OR($I14="",$I14&gt;=ИНФА!$F$5)),$F14,0))</f>
        <v/>
      </c>
      <c r="M14" s="47" t="str">
        <f aca="false">IF($B14="","",IF(COUNTIFS($B$5:$B$44,$B14,$H$5:$H$44,"да")&gt;ИНФА!$F$33,"больше "&amp;ИНФА!$F$33&amp;" патентов у компании!",""))</f>
        <v/>
      </c>
    </row>
    <row r="15" customFormat="false" ht="15" hidden="false" customHeight="false" outlineLevel="0" collapsed="false">
      <c r="A15" s="36" t="str">
        <f aca="false">IF($B15="","",ROW()-4)</f>
        <v/>
      </c>
      <c r="B15" s="44"/>
      <c r="C15" s="44"/>
      <c r="D15" s="44"/>
      <c r="E15" s="49"/>
      <c r="F15" s="43"/>
      <c r="G15" s="44"/>
      <c r="H15" s="44"/>
      <c r="I15" s="44"/>
      <c r="J15" s="44"/>
      <c r="K15" s="48" t="str">
        <f aca="false">IF($B15="","",IF(AND($H15="да",$E15&lt;&gt;""),MIN($E15,ИНФА!$F$22),1))</f>
        <v/>
      </c>
      <c r="L15" s="38" t="str">
        <f aca="false">IF($B15="","",IF(AND($H15="да",$F15&lt;&gt;"",$G15&lt;ИНФА!$F$5,OR($I15="",$I15&gt;=ИНФА!$F$5)),$F15,0))</f>
        <v/>
      </c>
      <c r="M15" s="47" t="str">
        <f aca="false">IF($B15="","",IF(COUNTIFS($B$5:$B$44,$B15,$H$5:$H$44,"да")&gt;ИНФА!$F$33,"больше "&amp;ИНФА!$F$33&amp;" патентов у компании!",""))</f>
        <v/>
      </c>
    </row>
    <row r="16" customFormat="false" ht="15" hidden="false" customHeight="false" outlineLevel="0" collapsed="false">
      <c r="A16" s="36" t="str">
        <f aca="false">IF($B16="","",ROW()-4)</f>
        <v/>
      </c>
      <c r="B16" s="44"/>
      <c r="C16" s="44"/>
      <c r="D16" s="44"/>
      <c r="E16" s="49"/>
      <c r="F16" s="43"/>
      <c r="G16" s="44"/>
      <c r="H16" s="44"/>
      <c r="I16" s="44"/>
      <c r="J16" s="44"/>
      <c r="K16" s="48" t="str">
        <f aca="false">IF($B16="","",IF(AND($H16="да",$E16&lt;&gt;""),MIN($E16,ИНФА!$F$22),1))</f>
        <v/>
      </c>
      <c r="L16" s="38" t="str">
        <f aca="false">IF($B16="","",IF(AND($H16="да",$F16&lt;&gt;"",$G16&lt;ИНФА!$F$5,OR($I16="",$I16&gt;=ИНФА!$F$5)),$F16,0))</f>
        <v/>
      </c>
      <c r="M16" s="47" t="str">
        <f aca="false">IF($B16="","",IF(COUNTIFS($B$5:$B$44,$B16,$H$5:$H$44,"да")&gt;ИНФА!$F$33,"больше "&amp;ИНФА!$F$33&amp;" патентов у компании!",""))</f>
        <v/>
      </c>
    </row>
    <row r="17" customFormat="false" ht="15" hidden="false" customHeight="false" outlineLevel="0" collapsed="false">
      <c r="A17" s="36" t="str">
        <f aca="false">IF($B17="","",ROW()-4)</f>
        <v/>
      </c>
      <c r="B17" s="44"/>
      <c r="C17" s="44"/>
      <c r="D17" s="44"/>
      <c r="E17" s="49"/>
      <c r="F17" s="43"/>
      <c r="G17" s="44"/>
      <c r="H17" s="44"/>
      <c r="I17" s="44"/>
      <c r="J17" s="44"/>
      <c r="K17" s="48" t="str">
        <f aca="false">IF($B17="","",IF(AND($H17="да",$E17&lt;&gt;""),MIN($E17,ИНФА!$F$22),1))</f>
        <v/>
      </c>
      <c r="L17" s="38" t="str">
        <f aca="false">IF($B17="","",IF(AND($H17="да",$F17&lt;&gt;"",$G17&lt;ИНФА!$F$5,OR($I17="",$I17&gt;=ИНФА!$F$5)),$F17,0))</f>
        <v/>
      </c>
      <c r="M17" s="47" t="str">
        <f aca="false">IF($B17="","",IF(COUNTIFS($B$5:$B$44,$B17,$H$5:$H$44,"да")&gt;ИНФА!$F$33,"больше "&amp;ИНФА!$F$33&amp;" патентов у компании!",""))</f>
        <v/>
      </c>
    </row>
    <row r="18" customFormat="false" ht="15" hidden="false" customHeight="false" outlineLevel="0" collapsed="false">
      <c r="A18" s="36" t="str">
        <f aca="false">IF($B18="","",ROW()-4)</f>
        <v/>
      </c>
      <c r="B18" s="44"/>
      <c r="C18" s="44"/>
      <c r="D18" s="44"/>
      <c r="E18" s="49"/>
      <c r="F18" s="43"/>
      <c r="G18" s="44"/>
      <c r="H18" s="44"/>
      <c r="I18" s="44"/>
      <c r="J18" s="44"/>
      <c r="K18" s="48" t="str">
        <f aca="false">IF($B18="","",IF(AND($H18="да",$E18&lt;&gt;""),MIN($E18,ИНФА!$F$22),1))</f>
        <v/>
      </c>
      <c r="L18" s="38" t="str">
        <f aca="false">IF($B18="","",IF(AND($H18="да",$F18&lt;&gt;"",$G18&lt;ИНФА!$F$5,OR($I18="",$I18&gt;=ИНФА!$F$5)),$F18,0))</f>
        <v/>
      </c>
      <c r="M18" s="47" t="str">
        <f aca="false">IF($B18="","",IF(COUNTIFS($B$5:$B$44,$B18,$H$5:$H$44,"да")&gt;ИНФА!$F$33,"больше "&amp;ИНФА!$F$33&amp;" патентов у компании!",""))</f>
        <v/>
      </c>
    </row>
    <row r="19" customFormat="false" ht="15" hidden="false" customHeight="false" outlineLevel="0" collapsed="false">
      <c r="A19" s="36" t="str">
        <f aca="false">IF($B19="","",ROW()-4)</f>
        <v/>
      </c>
      <c r="B19" s="44"/>
      <c r="C19" s="44"/>
      <c r="D19" s="44"/>
      <c r="E19" s="49"/>
      <c r="F19" s="43"/>
      <c r="G19" s="44"/>
      <c r="H19" s="44"/>
      <c r="I19" s="44"/>
      <c r="J19" s="44"/>
      <c r="K19" s="48" t="str">
        <f aca="false">IF($B19="","",IF(AND($H19="да",$E19&lt;&gt;""),MIN($E19,ИНФА!$F$22),1))</f>
        <v/>
      </c>
      <c r="L19" s="38" t="str">
        <f aca="false">IF($B19="","",IF(AND($H19="да",$F19&lt;&gt;"",$G19&lt;ИНФА!$F$5,OR($I19="",$I19&gt;=ИНФА!$F$5)),$F19,0))</f>
        <v/>
      </c>
      <c r="M19" s="47" t="str">
        <f aca="false">IF($B19="","",IF(COUNTIFS($B$5:$B$44,$B19,$H$5:$H$44,"да")&gt;ИНФА!$F$33,"больше "&amp;ИНФА!$F$33&amp;" патентов у компании!",""))</f>
        <v/>
      </c>
    </row>
    <row r="20" customFormat="false" ht="15" hidden="false" customHeight="false" outlineLevel="0" collapsed="false">
      <c r="A20" s="36" t="str">
        <f aca="false">IF($B20="","",ROW()-4)</f>
        <v/>
      </c>
      <c r="B20" s="44"/>
      <c r="C20" s="44"/>
      <c r="D20" s="44"/>
      <c r="E20" s="49"/>
      <c r="F20" s="43"/>
      <c r="G20" s="44"/>
      <c r="H20" s="44"/>
      <c r="I20" s="44"/>
      <c r="J20" s="44"/>
      <c r="K20" s="48" t="str">
        <f aca="false">IF($B20="","",IF(AND($H20="да",$E20&lt;&gt;""),MIN($E20,ИНФА!$F$22),1))</f>
        <v/>
      </c>
      <c r="L20" s="38" t="str">
        <f aca="false">IF($B20="","",IF(AND($H20="да",$F20&lt;&gt;"",$G20&lt;ИНФА!$F$5,OR($I20="",$I20&gt;=ИНФА!$F$5)),$F20,0))</f>
        <v/>
      </c>
      <c r="M20" s="47" t="str">
        <f aca="false">IF($B20="","",IF(COUNTIFS($B$5:$B$44,$B20,$H$5:$H$44,"да")&gt;ИНФА!$F$33,"больше "&amp;ИНФА!$F$33&amp;" патентов у компании!",""))</f>
        <v/>
      </c>
    </row>
    <row r="21" customFormat="false" ht="15" hidden="false" customHeight="false" outlineLevel="0" collapsed="false">
      <c r="A21" s="36" t="str">
        <f aca="false">IF($B21="","",ROW()-4)</f>
        <v/>
      </c>
      <c r="B21" s="44"/>
      <c r="C21" s="44"/>
      <c r="D21" s="44"/>
      <c r="E21" s="49"/>
      <c r="F21" s="43"/>
      <c r="G21" s="44"/>
      <c r="H21" s="44"/>
      <c r="I21" s="44"/>
      <c r="J21" s="44"/>
      <c r="K21" s="48" t="str">
        <f aca="false">IF($B21="","",IF(AND($H21="да",$E21&lt;&gt;""),MIN($E21,ИНФА!$F$22),1))</f>
        <v/>
      </c>
      <c r="L21" s="38" t="str">
        <f aca="false">IF($B21="","",IF(AND($H21="да",$F21&lt;&gt;"",$G21&lt;ИНФА!$F$5,OR($I21="",$I21&gt;=ИНФА!$F$5)),$F21,0))</f>
        <v/>
      </c>
      <c r="M21" s="47" t="str">
        <f aca="false">IF($B21="","",IF(COUNTIFS($B$5:$B$44,$B21,$H$5:$H$44,"да")&gt;ИНФА!$F$33,"больше "&amp;ИНФА!$F$33&amp;" патентов у компании!",""))</f>
        <v/>
      </c>
    </row>
    <row r="22" customFormat="false" ht="15" hidden="false" customHeight="false" outlineLevel="0" collapsed="false">
      <c r="A22" s="36" t="str">
        <f aca="false">IF($B22="","",ROW()-4)</f>
        <v/>
      </c>
      <c r="B22" s="44"/>
      <c r="C22" s="44"/>
      <c r="D22" s="44"/>
      <c r="E22" s="49"/>
      <c r="F22" s="43"/>
      <c r="G22" s="44"/>
      <c r="H22" s="44"/>
      <c r="I22" s="44"/>
      <c r="J22" s="44"/>
      <c r="K22" s="48" t="str">
        <f aca="false">IF($B22="","",IF(AND($H22="да",$E22&lt;&gt;""),MIN($E22,ИНФА!$F$22),1))</f>
        <v/>
      </c>
      <c r="L22" s="38" t="str">
        <f aca="false">IF($B22="","",IF(AND($H22="да",$F22&lt;&gt;"",$G22&lt;ИНФА!$F$5,OR($I22="",$I22&gt;=ИНФА!$F$5)),$F22,0))</f>
        <v/>
      </c>
      <c r="M22" s="47" t="str">
        <f aca="false">IF($B22="","",IF(COUNTIFS($B$5:$B$44,$B22,$H$5:$H$44,"да")&gt;ИНФА!$F$33,"больше "&amp;ИНФА!$F$33&amp;" патентов у компании!",""))</f>
        <v/>
      </c>
    </row>
    <row r="23" customFormat="false" ht="15" hidden="false" customHeight="false" outlineLevel="0" collapsed="false">
      <c r="A23" s="36" t="str">
        <f aca="false">IF($B23="","",ROW()-4)</f>
        <v/>
      </c>
      <c r="B23" s="44"/>
      <c r="C23" s="44"/>
      <c r="D23" s="44"/>
      <c r="E23" s="49"/>
      <c r="F23" s="43"/>
      <c r="G23" s="44"/>
      <c r="H23" s="44"/>
      <c r="I23" s="44"/>
      <c r="J23" s="44"/>
      <c r="K23" s="48" t="str">
        <f aca="false">IF($B23="","",IF(AND($H23="да",$E23&lt;&gt;""),MIN($E23,ИНФА!$F$22),1))</f>
        <v/>
      </c>
      <c r="L23" s="38" t="str">
        <f aca="false">IF($B23="","",IF(AND($H23="да",$F23&lt;&gt;"",$G23&lt;ИНФА!$F$5,OR($I23="",$I23&gt;=ИНФА!$F$5)),$F23,0))</f>
        <v/>
      </c>
      <c r="M23" s="47" t="str">
        <f aca="false">IF($B23="","",IF(COUNTIFS($B$5:$B$44,$B23,$H$5:$H$44,"да")&gt;ИНФА!$F$33,"больше "&amp;ИНФА!$F$33&amp;" патентов у компании!",""))</f>
        <v/>
      </c>
    </row>
    <row r="24" customFormat="false" ht="15" hidden="false" customHeight="false" outlineLevel="0" collapsed="false">
      <c r="A24" s="36" t="str">
        <f aca="false">IF($B24="","",ROW()-4)</f>
        <v/>
      </c>
      <c r="B24" s="44"/>
      <c r="C24" s="44"/>
      <c r="D24" s="44"/>
      <c r="E24" s="49"/>
      <c r="F24" s="43"/>
      <c r="G24" s="44"/>
      <c r="H24" s="44"/>
      <c r="I24" s="44"/>
      <c r="J24" s="44"/>
      <c r="K24" s="48" t="str">
        <f aca="false">IF($B24="","",IF(AND($H24="да",$E24&lt;&gt;""),MIN($E24,ИНФА!$F$22),1))</f>
        <v/>
      </c>
      <c r="L24" s="38" t="str">
        <f aca="false">IF($B24="","",IF(AND($H24="да",$F24&lt;&gt;"",$G24&lt;ИНФА!$F$5,OR($I24="",$I24&gt;=ИНФА!$F$5)),$F24,0))</f>
        <v/>
      </c>
      <c r="M24" s="47" t="str">
        <f aca="false">IF($B24="","",IF(COUNTIFS($B$5:$B$44,$B24,$H$5:$H$44,"да")&gt;ИНФА!$F$33,"больше "&amp;ИНФА!$F$33&amp;" патентов у компании!",""))</f>
        <v/>
      </c>
    </row>
    <row r="25" customFormat="false" ht="15" hidden="false" customHeight="false" outlineLevel="0" collapsed="false">
      <c r="A25" s="36" t="str">
        <f aca="false">IF($B25="","",ROW()-4)</f>
        <v/>
      </c>
      <c r="B25" s="44"/>
      <c r="C25" s="44"/>
      <c r="D25" s="44"/>
      <c r="E25" s="49"/>
      <c r="F25" s="43"/>
      <c r="G25" s="44"/>
      <c r="H25" s="44"/>
      <c r="I25" s="44"/>
      <c r="J25" s="44"/>
      <c r="K25" s="48" t="str">
        <f aca="false">IF($B25="","",IF(AND($H25="да",$E25&lt;&gt;""),MIN($E25,ИНФА!$F$22),1))</f>
        <v/>
      </c>
      <c r="L25" s="38" t="str">
        <f aca="false">IF($B25="","",IF(AND($H25="да",$F25&lt;&gt;"",$G25&lt;ИНФА!$F$5,OR($I25="",$I25&gt;=ИНФА!$F$5)),$F25,0))</f>
        <v/>
      </c>
      <c r="M25" s="47" t="str">
        <f aca="false">IF($B25="","",IF(COUNTIFS($B$5:$B$44,$B25,$H$5:$H$44,"да")&gt;ИНФА!$F$33,"больше "&amp;ИНФА!$F$33&amp;" патентов у компании!",""))</f>
        <v/>
      </c>
    </row>
    <row r="26" customFormat="false" ht="15" hidden="false" customHeight="false" outlineLevel="0" collapsed="false">
      <c r="A26" s="36" t="str">
        <f aca="false">IF($B26="","",ROW()-4)</f>
        <v/>
      </c>
      <c r="B26" s="44"/>
      <c r="C26" s="44"/>
      <c r="D26" s="44"/>
      <c r="E26" s="49"/>
      <c r="F26" s="43"/>
      <c r="G26" s="44"/>
      <c r="H26" s="44"/>
      <c r="I26" s="44"/>
      <c r="J26" s="44"/>
      <c r="K26" s="48" t="str">
        <f aca="false">IF($B26="","",IF(AND($H26="да",$E26&lt;&gt;""),MIN($E26,ИНФА!$F$22),1))</f>
        <v/>
      </c>
      <c r="L26" s="38" t="str">
        <f aca="false">IF($B26="","",IF(AND($H26="да",$F26&lt;&gt;"",$G26&lt;ИНФА!$F$5,OR($I26="",$I26&gt;=ИНФА!$F$5)),$F26,0))</f>
        <v/>
      </c>
      <c r="M26" s="47" t="str">
        <f aca="false">IF($B26="","",IF(COUNTIFS($B$5:$B$44,$B26,$H$5:$H$44,"да")&gt;ИНФА!$F$33,"больше "&amp;ИНФА!$F$33&amp;" патентов у компании!",""))</f>
        <v/>
      </c>
    </row>
    <row r="27" customFormat="false" ht="15" hidden="false" customHeight="false" outlineLevel="0" collapsed="false">
      <c r="A27" s="36" t="str">
        <f aca="false">IF($B27="","",ROW()-4)</f>
        <v/>
      </c>
      <c r="B27" s="44"/>
      <c r="C27" s="44"/>
      <c r="D27" s="44"/>
      <c r="E27" s="49"/>
      <c r="F27" s="43"/>
      <c r="G27" s="44"/>
      <c r="H27" s="44"/>
      <c r="I27" s="44"/>
      <c r="J27" s="44"/>
      <c r="K27" s="48" t="str">
        <f aca="false">IF($B27="","",IF(AND($H27="да",$E27&lt;&gt;""),MIN($E27,ИНФА!$F$22),1))</f>
        <v/>
      </c>
      <c r="L27" s="38" t="str">
        <f aca="false">IF($B27="","",IF(AND($H27="да",$F27&lt;&gt;"",$G27&lt;ИНФА!$F$5,OR($I27="",$I27&gt;=ИНФА!$F$5)),$F27,0))</f>
        <v/>
      </c>
      <c r="M27" s="47" t="str">
        <f aca="false">IF($B27="","",IF(COUNTIFS($B$5:$B$44,$B27,$H$5:$H$44,"да")&gt;ИНФА!$F$33,"больше "&amp;ИНФА!$F$33&amp;" патентов у компании!",""))</f>
        <v/>
      </c>
    </row>
    <row r="28" customFormat="false" ht="15" hidden="false" customHeight="false" outlineLevel="0" collapsed="false">
      <c r="A28" s="36" t="str">
        <f aca="false">IF($B28="","",ROW()-4)</f>
        <v/>
      </c>
      <c r="B28" s="44"/>
      <c r="C28" s="44"/>
      <c r="D28" s="44"/>
      <c r="E28" s="49"/>
      <c r="F28" s="43"/>
      <c r="G28" s="44"/>
      <c r="H28" s="44"/>
      <c r="I28" s="44"/>
      <c r="J28" s="44"/>
      <c r="K28" s="48" t="str">
        <f aca="false">IF($B28="","",IF(AND($H28="да",$E28&lt;&gt;""),MIN($E28,ИНФА!$F$22),1))</f>
        <v/>
      </c>
      <c r="L28" s="38" t="str">
        <f aca="false">IF($B28="","",IF(AND($H28="да",$F28&lt;&gt;"",$G28&lt;ИНФА!$F$5,OR($I28="",$I28&gt;=ИНФА!$F$5)),$F28,0))</f>
        <v/>
      </c>
      <c r="M28" s="47" t="str">
        <f aca="false">IF($B28="","",IF(COUNTIFS($B$5:$B$44,$B28,$H$5:$H$44,"да")&gt;ИНФА!$F$33,"больше "&amp;ИНФА!$F$33&amp;" патентов у компании!",""))</f>
        <v/>
      </c>
    </row>
    <row r="29" customFormat="false" ht="15" hidden="false" customHeight="false" outlineLevel="0" collapsed="false">
      <c r="A29" s="36" t="str">
        <f aca="false">IF($B29="","",ROW()-4)</f>
        <v/>
      </c>
      <c r="B29" s="44"/>
      <c r="C29" s="44"/>
      <c r="D29" s="44"/>
      <c r="E29" s="49"/>
      <c r="F29" s="43"/>
      <c r="G29" s="44"/>
      <c r="H29" s="44"/>
      <c r="I29" s="44"/>
      <c r="J29" s="44"/>
      <c r="K29" s="48" t="str">
        <f aca="false">IF($B29="","",IF(AND($H29="да",$E29&lt;&gt;""),MIN($E29,ИНФА!$F$22),1))</f>
        <v/>
      </c>
      <c r="L29" s="38" t="str">
        <f aca="false">IF($B29="","",IF(AND($H29="да",$F29&lt;&gt;"",$G29&lt;ИНФА!$F$5,OR($I29="",$I29&gt;=ИНФА!$F$5)),$F29,0))</f>
        <v/>
      </c>
      <c r="M29" s="47" t="str">
        <f aca="false">IF($B29="","",IF(COUNTIFS($B$5:$B$44,$B29,$H$5:$H$44,"да")&gt;ИНФА!$F$33,"больше "&amp;ИНФА!$F$33&amp;" патентов у компании!",""))</f>
        <v/>
      </c>
    </row>
    <row r="30" customFormat="false" ht="15" hidden="false" customHeight="false" outlineLevel="0" collapsed="false">
      <c r="A30" s="36" t="str">
        <f aca="false">IF($B30="","",ROW()-4)</f>
        <v/>
      </c>
      <c r="B30" s="44"/>
      <c r="C30" s="44"/>
      <c r="D30" s="44"/>
      <c r="E30" s="49"/>
      <c r="F30" s="43"/>
      <c r="G30" s="44"/>
      <c r="H30" s="44"/>
      <c r="I30" s="44"/>
      <c r="J30" s="44"/>
      <c r="K30" s="48" t="str">
        <f aca="false">IF($B30="","",IF(AND($H30="да",$E30&lt;&gt;""),MIN($E30,ИНФА!$F$22),1))</f>
        <v/>
      </c>
      <c r="L30" s="38" t="str">
        <f aca="false">IF($B30="","",IF(AND($H30="да",$F30&lt;&gt;"",$G30&lt;ИНФА!$F$5,OR($I30="",$I30&gt;=ИНФА!$F$5)),$F30,0))</f>
        <v/>
      </c>
      <c r="M30" s="47" t="str">
        <f aca="false">IF($B30="","",IF(COUNTIFS($B$5:$B$44,$B30,$H$5:$H$44,"да")&gt;ИНФА!$F$33,"больше "&amp;ИНФА!$F$33&amp;" патентов у компании!",""))</f>
        <v/>
      </c>
    </row>
    <row r="31" customFormat="false" ht="15" hidden="false" customHeight="false" outlineLevel="0" collapsed="false">
      <c r="A31" s="36" t="str">
        <f aca="false">IF($B31="","",ROW()-4)</f>
        <v/>
      </c>
      <c r="B31" s="44"/>
      <c r="C31" s="44"/>
      <c r="D31" s="44"/>
      <c r="E31" s="49"/>
      <c r="F31" s="43"/>
      <c r="G31" s="44"/>
      <c r="H31" s="44"/>
      <c r="I31" s="44"/>
      <c r="J31" s="44"/>
      <c r="K31" s="48" t="str">
        <f aca="false">IF($B31="","",IF(AND($H31="да",$E31&lt;&gt;""),MIN($E31,ИНФА!$F$22),1))</f>
        <v/>
      </c>
      <c r="L31" s="38" t="str">
        <f aca="false">IF($B31="","",IF(AND($H31="да",$F31&lt;&gt;"",$G31&lt;ИНФА!$F$5,OR($I31="",$I31&gt;=ИНФА!$F$5)),$F31,0))</f>
        <v/>
      </c>
      <c r="M31" s="47" t="str">
        <f aca="false">IF($B31="","",IF(COUNTIFS($B$5:$B$44,$B31,$H$5:$H$44,"да")&gt;ИНФА!$F$33,"больше "&amp;ИНФА!$F$33&amp;" патентов у компании!",""))</f>
        <v/>
      </c>
    </row>
    <row r="32" customFormat="false" ht="15" hidden="false" customHeight="false" outlineLevel="0" collapsed="false">
      <c r="A32" s="36" t="str">
        <f aca="false">IF($B32="","",ROW()-4)</f>
        <v/>
      </c>
      <c r="B32" s="44"/>
      <c r="C32" s="44"/>
      <c r="D32" s="44"/>
      <c r="E32" s="49"/>
      <c r="F32" s="43"/>
      <c r="G32" s="44"/>
      <c r="H32" s="44"/>
      <c r="I32" s="44"/>
      <c r="J32" s="44"/>
      <c r="K32" s="48" t="str">
        <f aca="false">IF($B32="","",IF(AND($H32="да",$E32&lt;&gt;""),MIN($E32,ИНФА!$F$22),1))</f>
        <v/>
      </c>
      <c r="L32" s="38" t="str">
        <f aca="false">IF($B32="","",IF(AND($H32="да",$F32&lt;&gt;"",$G32&lt;ИНФА!$F$5,OR($I32="",$I32&gt;=ИНФА!$F$5)),$F32,0))</f>
        <v/>
      </c>
      <c r="M32" s="47" t="str">
        <f aca="false">IF($B32="","",IF(COUNTIFS($B$5:$B$44,$B32,$H$5:$H$44,"да")&gt;ИНФА!$F$33,"больше "&amp;ИНФА!$F$33&amp;" патентов у компании!",""))</f>
        <v/>
      </c>
    </row>
    <row r="33" customFormat="false" ht="15" hidden="false" customHeight="false" outlineLevel="0" collapsed="false">
      <c r="A33" s="36" t="str">
        <f aca="false">IF($B33="","",ROW()-4)</f>
        <v/>
      </c>
      <c r="B33" s="44"/>
      <c r="C33" s="44"/>
      <c r="D33" s="44"/>
      <c r="E33" s="49"/>
      <c r="F33" s="43"/>
      <c r="G33" s="44"/>
      <c r="H33" s="44"/>
      <c r="I33" s="44"/>
      <c r="J33" s="44"/>
      <c r="K33" s="48" t="str">
        <f aca="false">IF($B33="","",IF(AND($H33="да",$E33&lt;&gt;""),MIN($E33,ИНФА!$F$22),1))</f>
        <v/>
      </c>
      <c r="L33" s="38" t="str">
        <f aca="false">IF($B33="","",IF(AND($H33="да",$F33&lt;&gt;"",$G33&lt;ИНФА!$F$5,OR($I33="",$I33&gt;=ИНФА!$F$5)),$F33,0))</f>
        <v/>
      </c>
      <c r="M33" s="47" t="str">
        <f aca="false">IF($B33="","",IF(COUNTIFS($B$5:$B$44,$B33,$H$5:$H$44,"да")&gt;ИНФА!$F$33,"больше "&amp;ИНФА!$F$33&amp;" патентов у компании!",""))</f>
        <v/>
      </c>
    </row>
    <row r="34" customFormat="false" ht="15" hidden="false" customHeight="false" outlineLevel="0" collapsed="false">
      <c r="A34" s="36" t="str">
        <f aca="false">IF($B34="","",ROW()-4)</f>
        <v/>
      </c>
      <c r="B34" s="44"/>
      <c r="C34" s="44"/>
      <c r="D34" s="44"/>
      <c r="E34" s="49"/>
      <c r="F34" s="43"/>
      <c r="G34" s="44"/>
      <c r="H34" s="44"/>
      <c r="I34" s="44"/>
      <c r="J34" s="44"/>
      <c r="K34" s="48" t="str">
        <f aca="false">IF($B34="","",IF(AND($H34="да",$E34&lt;&gt;""),MIN($E34,ИНФА!$F$22),1))</f>
        <v/>
      </c>
      <c r="L34" s="38" t="str">
        <f aca="false">IF($B34="","",IF(AND($H34="да",$F34&lt;&gt;"",$G34&lt;ИНФА!$F$5,OR($I34="",$I34&gt;=ИНФА!$F$5)),$F34,0))</f>
        <v/>
      </c>
      <c r="M34" s="47" t="str">
        <f aca="false">IF($B34="","",IF(COUNTIFS($B$5:$B$44,$B34,$H$5:$H$44,"да")&gt;ИНФА!$F$33,"больше "&amp;ИНФА!$F$33&amp;" патентов у компании!",""))</f>
        <v/>
      </c>
    </row>
    <row r="35" customFormat="false" ht="15" hidden="false" customHeight="false" outlineLevel="0" collapsed="false">
      <c r="A35" s="36" t="str">
        <f aca="false">IF($B35="","",ROW()-4)</f>
        <v/>
      </c>
      <c r="B35" s="44"/>
      <c r="C35" s="44"/>
      <c r="D35" s="44"/>
      <c r="E35" s="49"/>
      <c r="F35" s="43"/>
      <c r="G35" s="44"/>
      <c r="H35" s="44"/>
      <c r="I35" s="44"/>
      <c r="J35" s="44"/>
      <c r="K35" s="48" t="str">
        <f aca="false">IF($B35="","",IF(AND($H35="да",$E35&lt;&gt;""),MIN($E35,ИНФА!$F$22),1))</f>
        <v/>
      </c>
      <c r="L35" s="38" t="str">
        <f aca="false">IF($B35="","",IF(AND($H35="да",$F35&lt;&gt;"",$G35&lt;ИНФА!$F$5,OR($I35="",$I35&gt;=ИНФА!$F$5)),$F35,0))</f>
        <v/>
      </c>
      <c r="M35" s="47" t="str">
        <f aca="false">IF($B35="","",IF(COUNTIFS($B$5:$B$44,$B35,$H$5:$H$44,"да")&gt;ИНФА!$F$33,"больше "&amp;ИНФА!$F$33&amp;" патентов у компании!",""))</f>
        <v/>
      </c>
    </row>
    <row r="36" customFormat="false" ht="15" hidden="false" customHeight="false" outlineLevel="0" collapsed="false">
      <c r="A36" s="36" t="str">
        <f aca="false">IF($B36="","",ROW()-4)</f>
        <v/>
      </c>
      <c r="B36" s="44"/>
      <c r="C36" s="44"/>
      <c r="D36" s="44"/>
      <c r="E36" s="49"/>
      <c r="F36" s="43"/>
      <c r="G36" s="44"/>
      <c r="H36" s="44"/>
      <c r="I36" s="44"/>
      <c r="J36" s="44"/>
      <c r="K36" s="48" t="str">
        <f aca="false">IF($B36="","",IF(AND($H36="да",$E36&lt;&gt;""),MIN($E36,ИНФА!$F$22),1))</f>
        <v/>
      </c>
      <c r="L36" s="38" t="str">
        <f aca="false">IF($B36="","",IF(AND($H36="да",$F36&lt;&gt;"",$G36&lt;ИНФА!$F$5,OR($I36="",$I36&gt;=ИНФА!$F$5)),$F36,0))</f>
        <v/>
      </c>
      <c r="M36" s="47" t="str">
        <f aca="false">IF($B36="","",IF(COUNTIFS($B$5:$B$44,$B36,$H$5:$H$44,"да")&gt;ИНФА!$F$33,"больше "&amp;ИНФА!$F$33&amp;" патентов у компании!",""))</f>
        <v/>
      </c>
    </row>
    <row r="37" customFormat="false" ht="15" hidden="false" customHeight="false" outlineLevel="0" collapsed="false">
      <c r="A37" s="36" t="str">
        <f aca="false">IF($B37="","",ROW()-4)</f>
        <v/>
      </c>
      <c r="B37" s="44"/>
      <c r="C37" s="44"/>
      <c r="D37" s="44"/>
      <c r="E37" s="49"/>
      <c r="F37" s="43"/>
      <c r="G37" s="44"/>
      <c r="H37" s="44"/>
      <c r="I37" s="44"/>
      <c r="J37" s="44"/>
      <c r="K37" s="48" t="str">
        <f aca="false">IF($B37="","",IF(AND($H37="да",$E37&lt;&gt;""),MIN($E37,ИНФА!$F$22),1))</f>
        <v/>
      </c>
      <c r="L37" s="38" t="str">
        <f aca="false">IF($B37="","",IF(AND($H37="да",$F37&lt;&gt;"",$G37&lt;ИНФА!$F$5,OR($I37="",$I37&gt;=ИНФА!$F$5)),$F37,0))</f>
        <v/>
      </c>
      <c r="M37" s="47" t="str">
        <f aca="false">IF($B37="","",IF(COUNTIFS($B$5:$B$44,$B37,$H$5:$H$44,"да")&gt;ИНФА!$F$33,"больше "&amp;ИНФА!$F$33&amp;" патентов у компании!",""))</f>
        <v/>
      </c>
    </row>
    <row r="38" customFormat="false" ht="15" hidden="false" customHeight="false" outlineLevel="0" collapsed="false">
      <c r="A38" s="36" t="str">
        <f aca="false">IF($B38="","",ROW()-4)</f>
        <v/>
      </c>
      <c r="B38" s="44"/>
      <c r="C38" s="44"/>
      <c r="D38" s="44"/>
      <c r="E38" s="49"/>
      <c r="F38" s="43"/>
      <c r="G38" s="44"/>
      <c r="H38" s="44"/>
      <c r="I38" s="44"/>
      <c r="J38" s="44"/>
      <c r="K38" s="48" t="str">
        <f aca="false">IF($B38="","",IF(AND($H38="да",$E38&lt;&gt;""),MIN($E38,ИНФА!$F$22),1))</f>
        <v/>
      </c>
      <c r="L38" s="38" t="str">
        <f aca="false">IF($B38="","",IF(AND($H38="да",$F38&lt;&gt;"",$G38&lt;ИНФА!$F$5,OR($I38="",$I38&gt;=ИНФА!$F$5)),$F38,0))</f>
        <v/>
      </c>
      <c r="M38" s="47" t="str">
        <f aca="false">IF($B38="","",IF(COUNTIFS($B$5:$B$44,$B38,$H$5:$H$44,"да")&gt;ИНФА!$F$33,"больше "&amp;ИНФА!$F$33&amp;" патентов у компании!",""))</f>
        <v/>
      </c>
    </row>
    <row r="39" customFormat="false" ht="15" hidden="false" customHeight="false" outlineLevel="0" collapsed="false">
      <c r="A39" s="36" t="str">
        <f aca="false">IF($B39="","",ROW()-4)</f>
        <v/>
      </c>
      <c r="B39" s="44"/>
      <c r="C39" s="44"/>
      <c r="D39" s="44"/>
      <c r="E39" s="49"/>
      <c r="F39" s="43"/>
      <c r="G39" s="44"/>
      <c r="H39" s="44"/>
      <c r="I39" s="44"/>
      <c r="J39" s="44"/>
      <c r="K39" s="48" t="str">
        <f aca="false">IF($B39="","",IF(AND($H39="да",$E39&lt;&gt;""),MIN($E39,ИНФА!$F$22),1))</f>
        <v/>
      </c>
      <c r="L39" s="38" t="str">
        <f aca="false">IF($B39="","",IF(AND($H39="да",$F39&lt;&gt;"",$G39&lt;ИНФА!$F$5,OR($I39="",$I39&gt;=ИНФА!$F$5)),$F39,0))</f>
        <v/>
      </c>
      <c r="M39" s="47" t="str">
        <f aca="false">IF($B39="","",IF(COUNTIFS($B$5:$B$44,$B39,$H$5:$H$44,"да")&gt;ИНФА!$F$33,"больше "&amp;ИНФА!$F$33&amp;" патентов у компании!",""))</f>
        <v/>
      </c>
    </row>
    <row r="40" customFormat="false" ht="15" hidden="false" customHeight="false" outlineLevel="0" collapsed="false">
      <c r="A40" s="36" t="str">
        <f aca="false">IF($B40="","",ROW()-4)</f>
        <v/>
      </c>
      <c r="B40" s="44"/>
      <c r="C40" s="44"/>
      <c r="D40" s="44"/>
      <c r="E40" s="49"/>
      <c r="F40" s="43"/>
      <c r="G40" s="44"/>
      <c r="H40" s="44"/>
      <c r="I40" s="44"/>
      <c r="J40" s="44"/>
      <c r="K40" s="48" t="str">
        <f aca="false">IF($B40="","",IF(AND($H40="да",$E40&lt;&gt;""),MIN($E40,ИНФА!$F$22),1))</f>
        <v/>
      </c>
      <c r="L40" s="38" t="str">
        <f aca="false">IF($B40="","",IF(AND($H40="да",$F40&lt;&gt;"",$G40&lt;ИНФА!$F$5,OR($I40="",$I40&gt;=ИНФА!$F$5)),$F40,0))</f>
        <v/>
      </c>
      <c r="M40" s="47" t="str">
        <f aca="false">IF($B40="","",IF(COUNTIFS($B$5:$B$44,$B40,$H$5:$H$44,"да")&gt;ИНФА!$F$33,"больше "&amp;ИНФА!$F$33&amp;" патентов у компании!",""))</f>
        <v/>
      </c>
    </row>
    <row r="41" customFormat="false" ht="15" hidden="false" customHeight="false" outlineLevel="0" collapsed="false">
      <c r="A41" s="36" t="str">
        <f aca="false">IF($B41="","",ROW()-4)</f>
        <v/>
      </c>
      <c r="B41" s="44"/>
      <c r="C41" s="44"/>
      <c r="D41" s="44"/>
      <c r="E41" s="49"/>
      <c r="F41" s="43"/>
      <c r="G41" s="44"/>
      <c r="H41" s="44"/>
      <c r="I41" s="44"/>
      <c r="J41" s="44"/>
      <c r="K41" s="48" t="str">
        <f aca="false">IF($B41="","",IF(AND($H41="да",$E41&lt;&gt;""),MIN($E41,ИНФА!$F$22),1))</f>
        <v/>
      </c>
      <c r="L41" s="38" t="str">
        <f aca="false">IF($B41="","",IF(AND($H41="да",$F41&lt;&gt;"",$G41&lt;ИНФА!$F$5,OR($I41="",$I41&gt;=ИНФА!$F$5)),$F41,0))</f>
        <v/>
      </c>
      <c r="M41" s="47" t="str">
        <f aca="false">IF($B41="","",IF(COUNTIFS($B$5:$B$44,$B41,$H$5:$H$44,"да")&gt;ИНФА!$F$33,"больше "&amp;ИНФА!$F$33&amp;" патентов у компании!",""))</f>
        <v/>
      </c>
    </row>
    <row r="42" customFormat="false" ht="15" hidden="false" customHeight="false" outlineLevel="0" collapsed="false">
      <c r="A42" s="36" t="str">
        <f aca="false">IF($B42="","",ROW()-4)</f>
        <v/>
      </c>
      <c r="B42" s="44"/>
      <c r="C42" s="44"/>
      <c r="D42" s="44"/>
      <c r="E42" s="49"/>
      <c r="F42" s="43"/>
      <c r="G42" s="44"/>
      <c r="H42" s="44"/>
      <c r="I42" s="44"/>
      <c r="J42" s="44"/>
      <c r="K42" s="48" t="str">
        <f aca="false">IF($B42="","",IF(AND($H42="да",$E42&lt;&gt;""),MIN($E42,ИНФА!$F$22),1))</f>
        <v/>
      </c>
      <c r="L42" s="38" t="str">
        <f aca="false">IF($B42="","",IF(AND($H42="да",$F42&lt;&gt;"",$G42&lt;ИНФА!$F$5,OR($I42="",$I42&gt;=ИНФА!$F$5)),$F42,0))</f>
        <v/>
      </c>
      <c r="M42" s="47" t="str">
        <f aca="false">IF($B42="","",IF(COUNTIFS($B$5:$B$44,$B42,$H$5:$H$44,"да")&gt;ИНФА!$F$33,"больше "&amp;ИНФА!$F$33&amp;" патентов у компании!",""))</f>
        <v/>
      </c>
    </row>
    <row r="43" customFormat="false" ht="15" hidden="false" customHeight="false" outlineLevel="0" collapsed="false">
      <c r="A43" s="36" t="str">
        <f aca="false">IF($B43="","",ROW()-4)</f>
        <v/>
      </c>
      <c r="B43" s="44"/>
      <c r="C43" s="44"/>
      <c r="D43" s="44"/>
      <c r="E43" s="49"/>
      <c r="F43" s="43"/>
      <c r="G43" s="44"/>
      <c r="H43" s="44"/>
      <c r="I43" s="44"/>
      <c r="J43" s="44"/>
      <c r="K43" s="48" t="str">
        <f aca="false">IF($B43="","",IF(AND($H43="да",$E43&lt;&gt;""),MIN($E43,ИНФА!$F$22),1))</f>
        <v/>
      </c>
      <c r="L43" s="38" t="str">
        <f aca="false">IF($B43="","",IF(AND($H43="да",$F43&lt;&gt;"",$G43&lt;ИНФА!$F$5,OR($I43="",$I43&gt;=ИНФА!$F$5)),$F43,0))</f>
        <v/>
      </c>
      <c r="M43" s="47" t="str">
        <f aca="false">IF($B43="","",IF(COUNTIFS($B$5:$B$44,$B43,$H$5:$H$44,"да")&gt;ИНФА!$F$33,"больше "&amp;ИНФА!$F$33&amp;" патентов у компании!",""))</f>
        <v/>
      </c>
    </row>
    <row r="44" customFormat="false" ht="15" hidden="false" customHeight="false" outlineLevel="0" collapsed="false">
      <c r="A44" s="36" t="str">
        <f aca="false">IF($B44="","",ROW()-4)</f>
        <v/>
      </c>
      <c r="B44" s="44"/>
      <c r="C44" s="44"/>
      <c r="D44" s="44"/>
      <c r="E44" s="49"/>
      <c r="F44" s="43"/>
      <c r="G44" s="44"/>
      <c r="H44" s="44"/>
      <c r="I44" s="44"/>
      <c r="J44" s="44"/>
      <c r="K44" s="48" t="str">
        <f aca="false">IF($B44="","",IF(AND($H44="да",$E44&lt;&gt;""),MIN($E44,ИНФА!$F$22),1))</f>
        <v/>
      </c>
      <c r="L44" s="38" t="str">
        <f aca="false">IF($B44="","",IF(AND($H44="да",$F44&lt;&gt;"",$G44&lt;ИНФА!$F$5,OR($I44="",$I44&gt;=ИНФА!$F$5)),$F44,0))</f>
        <v/>
      </c>
      <c r="M44" s="47" t="str">
        <f aca="false">IF($B44="","",IF(COUNTIFS($B$5:$B$44,$B44,$H$5:$H$44,"да")&gt;ИНФА!$F$33,"больше "&amp;ИНФА!$F$33&amp;" патентов у компании!",""))</f>
        <v/>
      </c>
    </row>
  </sheetData>
  <dataValidations count="5">
    <dataValidation allowBlank="true" error="Целое число от 1 до 10." errorStyle="stop" operator="between" showDropDown="false" showErrorMessage="true" showInputMessage="false" sqref="G5:G44 I5:I44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B5:B4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D5:D44" type="list">
      <formula1>"Экономический,Социальный,Новая механика"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H5:H44" type="list">
      <formula1>"да,нет"</formula1>
      <formula2>0</formula2>
    </dataValidation>
    <dataValidation allowBlank="true" error="Множитель от 1 до 2." errorStyle="stop" operator="between" showDropDown="false" showErrorMessage="true" showInputMessage="false" sqref="E5:E44" type="decimal">
      <formula1>1</formula1>
      <formula2>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AD12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3" min="3" style="0" width="16"/>
    <col collapsed="false" customWidth="true" hidden="false" outlineLevel="0" max="4" min="4" style="0" width="28"/>
    <col collapsed="false" customWidth="true" hidden="false" outlineLevel="0" max="6" min="5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8"/>
    <col collapsed="false" customWidth="true" hidden="false" outlineLevel="0" max="11" min="11" style="0" width="11"/>
    <col collapsed="false" customWidth="true" hidden="false" outlineLevel="0" max="12" min="12" style="0" width="34"/>
    <col collapsed="false" customWidth="true" hidden="false" outlineLevel="0" max="14" min="14" style="0" width="7"/>
    <col collapsed="false" customWidth="true" hidden="false" outlineLevel="0" max="15" min="15" style="0" width="16"/>
    <col collapsed="false" customWidth="true" hidden="false" outlineLevel="0" max="16" min="16" style="0" width="28"/>
    <col collapsed="false" customWidth="true" hidden="false" outlineLevel="0" max="17" min="17" style="0" width="8"/>
    <col collapsed="false" customWidth="true" hidden="false" outlineLevel="0" max="18" min="18" style="0" width="13"/>
    <col collapsed="false" customWidth="true" hidden="false" outlineLevel="0" max="19" min="19" style="0" width="11"/>
    <col collapsed="false" customWidth="true" hidden="false" outlineLevel="0" max="20" min="20" style="0" width="18"/>
    <col collapsed="false" customWidth="true" hidden="false" outlineLevel="0" max="21" min="21" style="0" width="24"/>
    <col collapsed="false" customWidth="true" hidden="false" outlineLevel="0" max="22" min="22" style="0" width="22"/>
    <col collapsed="false" customWidth="true" hidden="false" outlineLevel="0" max="24" min="24" style="0" width="7"/>
    <col collapsed="false" customWidth="true" hidden="false" outlineLevel="0" max="25" min="25" style="0" width="16"/>
    <col collapsed="false" customWidth="true" hidden="false" outlineLevel="0" max="26" min="26" style="0" width="28"/>
    <col collapsed="false" customWidth="true" hidden="false" outlineLevel="0" max="27" min="27" style="0" width="16"/>
    <col collapsed="false" customWidth="true" hidden="false" outlineLevel="0" max="28" min="28" style="0" width="10"/>
    <col collapsed="false" customWidth="true" hidden="false" outlineLevel="0" max="29" min="29" style="0" width="16"/>
    <col collapsed="false" customWidth="true" hidden="false" outlineLevel="0" max="30" min="30" style="0" width="30"/>
  </cols>
  <sheetData>
    <row r="1" customFormat="false" ht="17.35" hidden="false" customHeight="false" outlineLevel="0" collapsed="false">
      <c r="A1" s="8" t="s">
        <v>296</v>
      </c>
    </row>
    <row r="2" customFormat="false" ht="15" hidden="false" customHeight="false" outlineLevel="0" collapsed="false">
      <c r="A2" s="2" t="s">
        <v>297</v>
      </c>
    </row>
    <row r="3" customFormat="false" ht="15" hidden="false" customHeight="false" outlineLevel="0" collapsed="false">
      <c r="A3" s="41" t="s">
        <v>298</v>
      </c>
      <c r="N3" s="41" t="s">
        <v>299</v>
      </c>
      <c r="X3" s="41" t="s">
        <v>300</v>
      </c>
    </row>
    <row r="4" customFormat="false" ht="42" hidden="false" customHeight="true" outlineLevel="0" collapsed="false">
      <c r="A4" s="9" t="s">
        <v>100</v>
      </c>
      <c r="B4" s="9" t="s">
        <v>301</v>
      </c>
      <c r="C4" s="9" t="s">
        <v>302</v>
      </c>
      <c r="D4" s="9" t="s">
        <v>303</v>
      </c>
      <c r="E4" s="9" t="s">
        <v>304</v>
      </c>
      <c r="F4" s="9" t="s">
        <v>305</v>
      </c>
      <c r="G4" s="9" t="s">
        <v>306</v>
      </c>
      <c r="H4" s="9" t="s">
        <v>307</v>
      </c>
      <c r="I4" s="9" t="s">
        <v>308</v>
      </c>
      <c r="J4" s="9" t="s">
        <v>309</v>
      </c>
      <c r="K4" s="9" t="s">
        <v>310</v>
      </c>
      <c r="L4" s="9" t="s">
        <v>254</v>
      </c>
      <c r="N4" s="9" t="s">
        <v>256</v>
      </c>
      <c r="O4" s="9" t="s">
        <v>100</v>
      </c>
      <c r="P4" s="9" t="s">
        <v>303</v>
      </c>
      <c r="Q4" s="9" t="s">
        <v>311</v>
      </c>
      <c r="R4" s="9" t="s">
        <v>308</v>
      </c>
      <c r="S4" s="9" t="s">
        <v>312</v>
      </c>
      <c r="T4" s="9" t="s">
        <v>313</v>
      </c>
      <c r="U4" s="9" t="s">
        <v>314</v>
      </c>
      <c r="V4" s="9" t="s">
        <v>254</v>
      </c>
      <c r="X4" s="9" t="s">
        <v>256</v>
      </c>
      <c r="Y4" s="9" t="s">
        <v>315</v>
      </c>
      <c r="Z4" s="9" t="s">
        <v>303</v>
      </c>
      <c r="AA4" s="9" t="s">
        <v>316</v>
      </c>
      <c r="AB4" s="9" t="s">
        <v>317</v>
      </c>
      <c r="AC4" s="9" t="s">
        <v>318</v>
      </c>
      <c r="AD4" s="9" t="s">
        <v>254</v>
      </c>
    </row>
    <row r="5" customFormat="false" ht="15" hidden="false" customHeight="false" outlineLevel="0" collapsed="false">
      <c r="A5" s="36" t="str">
        <f aca="false">ИНФА!$B$5</f>
        <v>Прорыв</v>
      </c>
      <c r="B5" s="37" t="n">
        <v>1</v>
      </c>
      <c r="C5" s="44"/>
      <c r="D5" s="44" t="s">
        <v>319</v>
      </c>
      <c r="E5" s="44"/>
      <c r="F5" s="44"/>
      <c r="G5" s="36" t="n">
        <f aca="false">IF($D5="","",1+($E5&lt;&gt;"")+($F5&lt;&gt;""))</f>
        <v>1</v>
      </c>
      <c r="H5" s="38" t="n">
        <f aca="false">IF($D5="","",INDEX(ПРОФЕССИИ!$F$5:$H$39,MATCH($D5,ПРОФЕССИИ!$A$5:$A$39,0),$G5))</f>
        <v>500</v>
      </c>
      <c r="I5" s="37" t="str">
        <f aca="false">IF($D5="","",INDEX(ПРОФЕССИИ!$E$5:$E$39,MATCH($D5,ПРОФЕССИИ!$A$5:$A$39,0)))</f>
        <v>Скидка</v>
      </c>
      <c r="J5" s="37" t="str">
        <f aca="false">IF($D5="","",INDEX(ПРОФЕССИИ!$J$5:$J$39,MATCH($D5,ПРОФЕССИИ!$A$5:$A$39,0)))</f>
        <v>Инфраструктура</v>
      </c>
      <c r="K5" s="38" t="n">
        <f aca="false">IF($D5="","",($E5&lt;&gt;"")*ИНФА!$F$27+($F5&lt;&gt;"")*ИНФА!$F$28)</f>
        <v>0</v>
      </c>
      <c r="L5" s="47" t="str">
        <f aca="false">IF($D5="","",IF(AND($F5&lt;&gt;"",$E5=""),"сначала уровень 2! ","")&amp;IF(AND($F5&lt;&gt;"",$E5&lt;&gt;"",N($F5)&lt;=N($E5)),"ур. 3 — в более позднем цикле, чем ур. 2! ","")&amp;IF(OR(AND($E5&lt;&gt;"",COUNTIFS($A$5:$A$76,$A5,$E$5:$E$76,$E5)+COUNTIFS($A$5:$A$76,$A5,$F$5:$F$76,$E5)&gt;1),AND($F5&lt;&gt;"",COUNTIFS($A$5:$A$76,$A5,$E$5:$E$76,$F5)+COUNTIFS($A$5:$A$76,$A5,$F$5:$F$76,$F5)&gt;1)),"больше 1 повышения в цикле у компании; ","")&amp;IF(AND($C5="",ИНФА!$F$5&gt;1),"карточка не используется",""))</f>
        <v/>
      </c>
      <c r="N5" s="44"/>
      <c r="O5" s="44"/>
      <c r="P5" s="44"/>
      <c r="Q5" s="37" t="str">
        <f aca="false">IF(OR($O5="",$P5=""),"",MAX(1,SUMIFS($G$5:$G$76,$A$5:$A$76,$O5,$D$5:$D$76,$P5)))</f>
        <v/>
      </c>
      <c r="R5" s="37" t="str">
        <f aca="false">IF($P5="","",INDEX(ПРОФЕССИИ!$E$5:$E$39,MATCH($P5,ПРОФЕССИИ!$A$5:$A$39,0)))</f>
        <v/>
      </c>
      <c r="S5" s="38" t="str">
        <f aca="false">IF(OR($P5="",$Q5=""),"",INDEX(ПРОФЕССИИ!$F$5:$H$39,MATCH($P5,ПРОФЕССИИ!$A$5:$A$39,0),$Q5))</f>
        <v/>
      </c>
      <c r="T5" s="44"/>
      <c r="U5" s="44"/>
      <c r="V5" s="47" t="str">
        <f aca="false">IF($O5="","",IF(COUNTIFS($N$5:$N$124,$N5,$O$5:$O$124,$O5,$P$5:$P$124,$P5)&gt;1,"повтор в этом цикле!","")&amp;IF(COUNTIFS($A$5:$A$76,$O5,$D$5:$D$76,$P5)=0," такой профессии нет у компании (найм?)",""))</f>
        <v/>
      </c>
      <c r="X5" s="44"/>
      <c r="Y5" s="44"/>
      <c r="Z5" s="44"/>
      <c r="AA5" s="44"/>
      <c r="AB5" s="43"/>
      <c r="AC5" s="44"/>
      <c r="AD5" s="47" t="str">
        <f aca="false">IF($Y5="","",IF(AND($AB5&lt;&gt;"",OR($AB5&lt;ИНФА!$F$34,$AB5&gt;ИНФА!$F$35)),"цена вне 1 000–3 000; ","")&amp;IF(COUNTIFS($X$5:$X$64,$X5,$Y$5:$Y$64,$Y5,$Z$5:$Z$64,$Z5)&gt;1,"специалист — один заказ за цикл; ","")&amp;IF($Y5=$AA5,"продавец и покупатель совпадают",""))</f>
        <v/>
      </c>
    </row>
    <row r="6" customFormat="false" ht="15" hidden="false" customHeight="false" outlineLevel="0" collapsed="false">
      <c r="A6" s="36" t="str">
        <f aca="false">ИНФА!$B$5</f>
        <v>Прорыв</v>
      </c>
      <c r="B6" s="37" t="n">
        <v>2</v>
      </c>
      <c r="C6" s="44"/>
      <c r="D6" s="44" t="s">
        <v>320</v>
      </c>
      <c r="E6" s="44"/>
      <c r="F6" s="44"/>
      <c r="G6" s="36" t="n">
        <f aca="false">IF($D6="","",1+($E6&lt;&gt;"")+($F6&lt;&gt;""))</f>
        <v>1</v>
      </c>
      <c r="H6" s="38" t="n">
        <f aca="false">IF($D6="","",INDEX(ПРОФЕССИИ!$F$5:$H$39,MATCH($D6,ПРОФЕССИИ!$A$5:$A$39,0),$G6))</f>
        <v>500</v>
      </c>
      <c r="I6" s="37" t="str">
        <f aca="false">IF($D6="","",INDEX(ПРОФЕССИИ!$E$5:$E$39,MATCH($D6,ПРОФЕССИИ!$A$5:$A$39,0)))</f>
        <v>Доход</v>
      </c>
      <c r="J6" s="37" t="str">
        <f aca="false">IF($D6="","",INDEX(ПРОФЕССИИ!$J$5:$J$39,MATCH($D6,ПРОФЕССИИ!$A$5:$A$39,0)))</f>
        <v>Банк (при выплате)</v>
      </c>
      <c r="K6" s="38" t="n">
        <f aca="false">IF($D6="","",($E6&lt;&gt;"")*ИНФА!$F$27+($F6&lt;&gt;"")*ИНФА!$F$28)</f>
        <v>0</v>
      </c>
      <c r="L6" s="47" t="str">
        <f aca="false">IF($D6="","",IF(AND($F6&lt;&gt;"",$E6=""),"сначала уровень 2! ","")&amp;IF(AND($F6&lt;&gt;"",$E6&lt;&gt;"",N($F6)&lt;=N($E6)),"ур. 3 — в более позднем цикле, чем ур. 2! ","")&amp;IF(OR(AND($E6&lt;&gt;"",COUNTIFS($A$5:$A$76,$A6,$E$5:$E$76,$E6)+COUNTIFS($A$5:$A$76,$A6,$F$5:$F$76,$E6)&gt;1),AND($F6&lt;&gt;"",COUNTIFS($A$5:$A$76,$A6,$E$5:$E$76,$F6)+COUNTIFS($A$5:$A$76,$A6,$F$5:$F$76,$F6)&gt;1)),"больше 1 повышения в цикле у компании; ","")&amp;IF(AND($C6="",ИНФА!$F$5&gt;1),"карточка не используется",""))</f>
        <v/>
      </c>
      <c r="N6" s="44"/>
      <c r="O6" s="44"/>
      <c r="P6" s="44"/>
      <c r="Q6" s="37" t="str">
        <f aca="false">IF(OR($O6="",$P6=""),"",MAX(1,SUMIFS($G$5:$G$76,$A$5:$A$76,$O6,$D$5:$D$76,$P6)))</f>
        <v/>
      </c>
      <c r="R6" s="37" t="str">
        <f aca="false">IF($P6="","",INDEX(ПРОФЕССИИ!$E$5:$E$39,MATCH($P6,ПРОФЕССИИ!$A$5:$A$39,0)))</f>
        <v/>
      </c>
      <c r="S6" s="38" t="str">
        <f aca="false">IF(OR($P6="",$Q6=""),"",INDEX(ПРОФЕССИИ!$F$5:$H$39,MATCH($P6,ПРОФЕССИИ!$A$5:$A$39,0),$Q6))</f>
        <v/>
      </c>
      <c r="T6" s="44"/>
      <c r="U6" s="44"/>
      <c r="V6" s="47" t="str">
        <f aca="false">IF($O6="","",IF(COUNTIFS($N$5:$N$124,$N6,$O$5:$O$124,$O6,$P$5:$P$124,$P6)&gt;1,"повтор в этом цикле!","")&amp;IF(COUNTIFS($A$5:$A$76,$O6,$D$5:$D$76,$P6)=0," такой профессии нет у компании (найм?)",""))</f>
        <v/>
      </c>
      <c r="X6" s="44"/>
      <c r="Y6" s="44"/>
      <c r="Z6" s="44"/>
      <c r="AA6" s="44"/>
      <c r="AB6" s="43"/>
      <c r="AC6" s="44"/>
      <c r="AD6" s="47" t="str">
        <f aca="false">IF($Y6="","",IF(AND($AB6&lt;&gt;"",OR($AB6&lt;ИНФА!$F$34,$AB6&gt;ИНФА!$F$35)),"цена вне 1 000–3 000; ","")&amp;IF(COUNTIFS($X$5:$X$64,$X6,$Y$5:$Y$64,$Y6,$Z$5:$Z$64,$Z6)&gt;1,"специалист — один заказ за цикл; ","")&amp;IF($Y6=$AA6,"продавец и покупатель совпадают",""))</f>
        <v/>
      </c>
    </row>
    <row r="7" customFormat="false" ht="15" hidden="false" customHeight="false" outlineLevel="0" collapsed="false">
      <c r="A7" s="36" t="str">
        <f aca="false">ИНФА!$B$5</f>
        <v>Прорыв</v>
      </c>
      <c r="B7" s="37" t="n">
        <v>3</v>
      </c>
      <c r="C7" s="44"/>
      <c r="D7" s="44" t="s">
        <v>321</v>
      </c>
      <c r="E7" s="44"/>
      <c r="F7" s="44"/>
      <c r="G7" s="36" t="n">
        <f aca="false">IF($D7="","",1+($E7&lt;&gt;"")+($F7&lt;&gt;""))</f>
        <v>1</v>
      </c>
      <c r="H7" s="38" t="n">
        <f aca="false">IF($D7="","",INDEX(ПРОФЕССИИ!$F$5:$H$39,MATCH($D7,ПРОФЕССИИ!$A$5:$A$39,0),$G7))</f>
        <v>500</v>
      </c>
      <c r="I7" s="37" t="str">
        <f aca="false">IF($D7="","",INDEX(ПРОФЕССИИ!$E$5:$E$39,MATCH($D7,ПРОФЕССИИ!$A$5:$A$39,0)))</f>
        <v>Доход</v>
      </c>
      <c r="J7" s="37" t="str">
        <f aca="false">IF($D7="","",INDEX(ПРОФЕССИИ!$J$5:$J$39,MATCH($D7,ПРОФЕССИИ!$A$5:$A$39,0)))</f>
        <v>Банк (при выплате)</v>
      </c>
      <c r="K7" s="38" t="n">
        <f aca="false">IF($D7="","",($E7&lt;&gt;"")*ИНФА!$F$27+($F7&lt;&gt;"")*ИНФА!$F$28)</f>
        <v>0</v>
      </c>
      <c r="L7" s="47" t="str">
        <f aca="false">IF($D7="","",IF(AND($F7&lt;&gt;"",$E7=""),"сначала уровень 2! ","")&amp;IF(AND($F7&lt;&gt;"",$E7&lt;&gt;"",N($F7)&lt;=N($E7)),"ур. 3 — в более позднем цикле, чем ур. 2! ","")&amp;IF(OR(AND($E7&lt;&gt;"",COUNTIFS($A$5:$A$76,$A7,$E$5:$E$76,$E7)+COUNTIFS($A$5:$A$76,$A7,$F$5:$F$76,$E7)&gt;1),AND($F7&lt;&gt;"",COUNTIFS($A$5:$A$76,$A7,$E$5:$E$76,$F7)+COUNTIFS($A$5:$A$76,$A7,$F$5:$F$76,$F7)&gt;1)),"больше 1 повышения в цикле у компании; ","")&amp;IF(AND($C7="",ИНФА!$F$5&gt;1),"карточка не используется",""))</f>
        <v/>
      </c>
      <c r="N7" s="44"/>
      <c r="O7" s="44"/>
      <c r="P7" s="44"/>
      <c r="Q7" s="37" t="str">
        <f aca="false">IF(OR($O7="",$P7=""),"",MAX(1,SUMIFS($G$5:$G$76,$A$5:$A$76,$O7,$D$5:$D$76,$P7)))</f>
        <v/>
      </c>
      <c r="R7" s="37" t="str">
        <f aca="false">IF($P7="","",INDEX(ПРОФЕССИИ!$E$5:$E$39,MATCH($P7,ПРОФЕССИИ!$A$5:$A$39,0)))</f>
        <v/>
      </c>
      <c r="S7" s="38" t="str">
        <f aca="false">IF(OR($P7="",$Q7=""),"",INDEX(ПРОФЕССИИ!$F$5:$H$39,MATCH($P7,ПРОФЕССИИ!$A$5:$A$39,0),$Q7))</f>
        <v/>
      </c>
      <c r="T7" s="44"/>
      <c r="U7" s="44"/>
      <c r="V7" s="47" t="str">
        <f aca="false">IF($O7="","",IF(COUNTIFS($N$5:$N$124,$N7,$O$5:$O$124,$O7,$P$5:$P$124,$P7)&gt;1,"повтор в этом цикле!","")&amp;IF(COUNTIFS($A$5:$A$76,$O7,$D$5:$D$76,$P7)=0," такой профессии нет у компании (найм?)",""))</f>
        <v/>
      </c>
      <c r="X7" s="44"/>
      <c r="Y7" s="44"/>
      <c r="Z7" s="44"/>
      <c r="AA7" s="44"/>
      <c r="AB7" s="43"/>
      <c r="AC7" s="44"/>
      <c r="AD7" s="47" t="str">
        <f aca="false">IF($Y7="","",IF(AND($AB7&lt;&gt;"",OR($AB7&lt;ИНФА!$F$34,$AB7&gt;ИНФА!$F$35)),"цена вне 1 000–3 000; ","")&amp;IF(COUNTIFS($X$5:$X$64,$X7,$Y$5:$Y$64,$Y7,$Z$5:$Z$64,$Z7)&gt;1,"специалист — один заказ за цикл; ","")&amp;IF($Y7=$AA7,"продавец и покупатель совпадают",""))</f>
        <v/>
      </c>
    </row>
    <row r="8" customFormat="false" ht="15" hidden="false" customHeight="false" outlineLevel="0" collapsed="false">
      <c r="A8" s="36" t="str">
        <f aca="false">ИНФА!$B$5</f>
        <v>Прорыв</v>
      </c>
      <c r="B8" s="37" t="n">
        <v>4</v>
      </c>
      <c r="C8" s="44"/>
      <c r="D8" s="44" t="s">
        <v>322</v>
      </c>
      <c r="E8" s="44"/>
      <c r="F8" s="44"/>
      <c r="G8" s="36" t="n">
        <f aca="false">IF($D8="","",1+($E8&lt;&gt;"")+($F8&lt;&gt;""))</f>
        <v>1</v>
      </c>
      <c r="H8" s="38" t="n">
        <f aca="false">IF($D8="","",INDEX(ПРОФЕССИИ!$F$5:$H$39,MATCH($D8,ПРОФЕССИИ!$A$5:$A$39,0),$G8))</f>
        <v>500</v>
      </c>
      <c r="I8" s="37" t="str">
        <f aca="false">IF($D8="","",INDEX(ПРОФЕССИИ!$E$5:$E$39,MATCH($D8,ПРОФЕССИИ!$A$5:$A$39,0)))</f>
        <v>Скидка</v>
      </c>
      <c r="J8" s="37" t="str">
        <f aca="false">IF($D8="","",INDEX(ПРОФЕССИИ!$J$5:$J$39,MATCH($D8,ПРОФЕССИИ!$A$5:$A$39,0)))</f>
        <v>Инфраструктура</v>
      </c>
      <c r="K8" s="38" t="n">
        <f aca="false">IF($D8="","",($E8&lt;&gt;"")*ИНФА!$F$27+($F8&lt;&gt;"")*ИНФА!$F$28)</f>
        <v>0</v>
      </c>
      <c r="L8" s="47" t="str">
        <f aca="false">IF($D8="","",IF(AND($F8&lt;&gt;"",$E8=""),"сначала уровень 2! ","")&amp;IF(AND($F8&lt;&gt;"",$E8&lt;&gt;"",N($F8)&lt;=N($E8)),"ур. 3 — в более позднем цикле, чем ур. 2! ","")&amp;IF(OR(AND($E8&lt;&gt;"",COUNTIFS($A$5:$A$76,$A8,$E$5:$E$76,$E8)+COUNTIFS($A$5:$A$76,$A8,$F$5:$F$76,$E8)&gt;1),AND($F8&lt;&gt;"",COUNTIFS($A$5:$A$76,$A8,$E$5:$E$76,$F8)+COUNTIFS($A$5:$A$76,$A8,$F$5:$F$76,$F8)&gt;1)),"больше 1 повышения в цикле у компании; ","")&amp;IF(AND($C8="",ИНФА!$F$5&gt;1),"карточка не используется",""))</f>
        <v/>
      </c>
      <c r="N8" s="44"/>
      <c r="O8" s="44"/>
      <c r="P8" s="44"/>
      <c r="Q8" s="37" t="str">
        <f aca="false">IF(OR($O8="",$P8=""),"",MAX(1,SUMIFS($G$5:$G$76,$A$5:$A$76,$O8,$D$5:$D$76,$P8)))</f>
        <v/>
      </c>
      <c r="R8" s="37" t="str">
        <f aca="false">IF($P8="","",INDEX(ПРОФЕССИИ!$E$5:$E$39,MATCH($P8,ПРОФЕССИИ!$A$5:$A$39,0)))</f>
        <v/>
      </c>
      <c r="S8" s="38" t="str">
        <f aca="false">IF(OR($P8="",$Q8=""),"",INDEX(ПРОФЕССИИ!$F$5:$H$39,MATCH($P8,ПРОФЕССИИ!$A$5:$A$39,0),$Q8))</f>
        <v/>
      </c>
      <c r="T8" s="44"/>
      <c r="U8" s="44"/>
      <c r="V8" s="47" t="str">
        <f aca="false">IF($O8="","",IF(COUNTIFS($N$5:$N$124,$N8,$O$5:$O$124,$O8,$P$5:$P$124,$P8)&gt;1,"повтор в этом цикле!","")&amp;IF(COUNTIFS($A$5:$A$76,$O8,$D$5:$D$76,$P8)=0," такой профессии нет у компании (найм?)",""))</f>
        <v/>
      </c>
      <c r="X8" s="44"/>
      <c r="Y8" s="44"/>
      <c r="Z8" s="44"/>
      <c r="AA8" s="44"/>
      <c r="AB8" s="43"/>
      <c r="AC8" s="44"/>
      <c r="AD8" s="47" t="str">
        <f aca="false">IF($Y8="","",IF(AND($AB8&lt;&gt;"",OR($AB8&lt;ИНФА!$F$34,$AB8&gt;ИНФА!$F$35)),"цена вне 1 000–3 000; ","")&amp;IF(COUNTIFS($X$5:$X$64,$X8,$Y$5:$Y$64,$Y8,$Z$5:$Z$64,$Z8)&gt;1,"специалист — один заказ за цикл; ","")&amp;IF($Y8=$AA8,"продавец и покупатель совпадают",""))</f>
        <v/>
      </c>
    </row>
    <row r="9" customFormat="false" ht="15" hidden="false" customHeight="false" outlineLevel="0" collapsed="false">
      <c r="A9" s="36" t="str">
        <f aca="false">ИНФА!$B$5</f>
        <v>Прорыв</v>
      </c>
      <c r="B9" s="37" t="n">
        <v>5</v>
      </c>
      <c r="C9" s="44"/>
      <c r="D9" s="44" t="s">
        <v>323</v>
      </c>
      <c r="E9" s="44"/>
      <c r="F9" s="44"/>
      <c r="G9" s="36" t="n">
        <f aca="false">IF($D9="","",1+($E9&lt;&gt;"")+($F9&lt;&gt;""))</f>
        <v>1</v>
      </c>
      <c r="H9" s="38" t="n">
        <f aca="false">IF($D9="","",INDEX(ПРОФЕССИИ!$F$5:$H$39,MATCH($D9,ПРОФЕССИИ!$A$5:$A$39,0),$G9))</f>
        <v>500</v>
      </c>
      <c r="I9" s="37" t="str">
        <f aca="false">IF($D9="","",INDEX(ПРОФЕССИИ!$E$5:$E$39,MATCH($D9,ПРОФЕССИИ!$A$5:$A$39,0)))</f>
        <v>Доход</v>
      </c>
      <c r="J9" s="37" t="str">
        <f aca="false">IF($D9="","",INDEX(ПРОФЕССИИ!$J$5:$J$39,MATCH($D9,ПРОФЕССИИ!$A$5:$A$39,0)))</f>
        <v>Банк (при выплате)</v>
      </c>
      <c r="K9" s="38" t="n">
        <f aca="false">IF($D9="","",($E9&lt;&gt;"")*ИНФА!$F$27+($F9&lt;&gt;"")*ИНФА!$F$28)</f>
        <v>0</v>
      </c>
      <c r="L9" s="47" t="str">
        <f aca="false">IF($D9="","",IF(AND($F9&lt;&gt;"",$E9=""),"сначала уровень 2! ","")&amp;IF(AND($F9&lt;&gt;"",$E9&lt;&gt;"",N($F9)&lt;=N($E9)),"ур. 3 — в более позднем цикле, чем ур. 2! ","")&amp;IF(OR(AND($E9&lt;&gt;"",COUNTIFS($A$5:$A$76,$A9,$E$5:$E$76,$E9)+COUNTIFS($A$5:$A$76,$A9,$F$5:$F$76,$E9)&gt;1),AND($F9&lt;&gt;"",COUNTIFS($A$5:$A$76,$A9,$E$5:$E$76,$F9)+COUNTIFS($A$5:$A$76,$A9,$F$5:$F$76,$F9)&gt;1)),"больше 1 повышения в цикле у компании; ","")&amp;IF(AND($C9="",ИНФА!$F$5&gt;1),"карточка не используется",""))</f>
        <v/>
      </c>
      <c r="N9" s="44"/>
      <c r="O9" s="44"/>
      <c r="P9" s="44"/>
      <c r="Q9" s="37" t="str">
        <f aca="false">IF(OR($O9="",$P9=""),"",MAX(1,SUMIFS($G$5:$G$76,$A$5:$A$76,$O9,$D$5:$D$76,$P9)))</f>
        <v/>
      </c>
      <c r="R9" s="37" t="str">
        <f aca="false">IF($P9="","",INDEX(ПРОФЕССИИ!$E$5:$E$39,MATCH($P9,ПРОФЕССИИ!$A$5:$A$39,0)))</f>
        <v/>
      </c>
      <c r="S9" s="38" t="str">
        <f aca="false">IF(OR($P9="",$Q9=""),"",INDEX(ПРОФЕССИИ!$F$5:$H$39,MATCH($P9,ПРОФЕССИИ!$A$5:$A$39,0),$Q9))</f>
        <v/>
      </c>
      <c r="T9" s="44"/>
      <c r="U9" s="44"/>
      <c r="V9" s="47" t="str">
        <f aca="false">IF($O9="","",IF(COUNTIFS($N$5:$N$124,$N9,$O$5:$O$124,$O9,$P$5:$P$124,$P9)&gt;1,"повтор в этом цикле!","")&amp;IF(COUNTIFS($A$5:$A$76,$O9,$D$5:$D$76,$P9)=0," такой профессии нет у компании (найм?)",""))</f>
        <v/>
      </c>
      <c r="X9" s="44"/>
      <c r="Y9" s="44"/>
      <c r="Z9" s="44"/>
      <c r="AA9" s="44"/>
      <c r="AB9" s="43"/>
      <c r="AC9" s="44"/>
      <c r="AD9" s="47" t="str">
        <f aca="false">IF($Y9="","",IF(AND($AB9&lt;&gt;"",OR($AB9&lt;ИНФА!$F$34,$AB9&gt;ИНФА!$F$35)),"цена вне 1 000–3 000; ","")&amp;IF(COUNTIFS($X$5:$X$64,$X9,$Y$5:$Y$64,$Y9,$Z$5:$Z$64,$Z9)&gt;1,"специалист — один заказ за цикл; ","")&amp;IF($Y9=$AA9,"продавец и покупатель совпадают",""))</f>
        <v/>
      </c>
    </row>
    <row r="10" customFormat="false" ht="15" hidden="false" customHeight="false" outlineLevel="0" collapsed="false">
      <c r="A10" s="36" t="str">
        <f aca="false">ИНФА!$B$5</f>
        <v>Прорыв</v>
      </c>
      <c r="B10" s="37" t="n">
        <v>6</v>
      </c>
      <c r="C10" s="44"/>
      <c r="D10" s="44" t="s">
        <v>324</v>
      </c>
      <c r="E10" s="44"/>
      <c r="F10" s="44"/>
      <c r="G10" s="36" t="n">
        <f aca="false">IF($D10="","",1+($E10&lt;&gt;"")+($F10&lt;&gt;""))</f>
        <v>1</v>
      </c>
      <c r="H10" s="38" t="n">
        <f aca="false">IF($D10="","",INDEX(ПРОФЕССИИ!$F$5:$H$39,MATCH($D10,ПРОФЕССИИ!$A$5:$A$39,0),$G10))</f>
        <v>500</v>
      </c>
      <c r="I10" s="37" t="str">
        <f aca="false">IF($D10="","",INDEX(ПРОФЕССИИ!$E$5:$E$39,MATCH($D10,ПРОФЕССИИ!$A$5:$A$39,0)))</f>
        <v>Штраф</v>
      </c>
      <c r="J10" s="37" t="str">
        <f aca="false">IF($D10="","",INDEX(ПРОФЕССИИ!$J$5:$J$39,MATCH($D10,ПРОФЕССИИ!$A$5:$A$39,0)))</f>
        <v>Гражданские сервисы</v>
      </c>
      <c r="K10" s="38" t="n">
        <f aca="false">IF($D10="","",($E10&lt;&gt;"")*ИНФА!$F$27+($F10&lt;&gt;"")*ИНФА!$F$28)</f>
        <v>0</v>
      </c>
      <c r="L10" s="47" t="str">
        <f aca="false">IF($D10="","",IF(AND($F10&lt;&gt;"",$E10=""),"сначала уровень 2! ","")&amp;IF(AND($F10&lt;&gt;"",$E10&lt;&gt;"",N($F10)&lt;=N($E10)),"ур. 3 — в более позднем цикле, чем ур. 2! ","")&amp;IF(OR(AND($E10&lt;&gt;"",COUNTIFS($A$5:$A$76,$A10,$E$5:$E$76,$E10)+COUNTIFS($A$5:$A$76,$A10,$F$5:$F$76,$E10)&gt;1),AND($F10&lt;&gt;"",COUNTIFS($A$5:$A$76,$A10,$E$5:$E$76,$F10)+COUNTIFS($A$5:$A$76,$A10,$F$5:$F$76,$F10)&gt;1)),"больше 1 повышения в цикле у компании; ","")&amp;IF(AND($C10="",ИНФА!$F$5&gt;1),"карточка не используется",""))</f>
        <v/>
      </c>
      <c r="N10" s="44"/>
      <c r="O10" s="44"/>
      <c r="P10" s="44"/>
      <c r="Q10" s="37" t="str">
        <f aca="false">IF(OR($O10="",$P10=""),"",MAX(1,SUMIFS($G$5:$G$76,$A$5:$A$76,$O10,$D$5:$D$76,$P10)))</f>
        <v/>
      </c>
      <c r="R10" s="37" t="str">
        <f aca="false">IF($P10="","",INDEX(ПРОФЕССИИ!$E$5:$E$39,MATCH($P10,ПРОФЕССИИ!$A$5:$A$39,0)))</f>
        <v/>
      </c>
      <c r="S10" s="38" t="str">
        <f aca="false">IF(OR($P10="",$Q10=""),"",INDEX(ПРОФЕССИИ!$F$5:$H$39,MATCH($P10,ПРОФЕССИИ!$A$5:$A$39,0),$Q10))</f>
        <v/>
      </c>
      <c r="T10" s="44"/>
      <c r="U10" s="44"/>
      <c r="V10" s="47" t="str">
        <f aca="false">IF($O10="","",IF(COUNTIFS($N$5:$N$124,$N10,$O$5:$O$124,$O10,$P$5:$P$124,$P10)&gt;1,"повтор в этом цикле!","")&amp;IF(COUNTIFS($A$5:$A$76,$O10,$D$5:$D$76,$P10)=0," такой профессии нет у компании (найм?)",""))</f>
        <v/>
      </c>
      <c r="X10" s="44"/>
      <c r="Y10" s="44"/>
      <c r="Z10" s="44"/>
      <c r="AA10" s="44"/>
      <c r="AB10" s="43"/>
      <c r="AC10" s="44"/>
      <c r="AD10" s="47" t="str">
        <f aca="false">IF($Y10="","",IF(AND($AB10&lt;&gt;"",OR($AB10&lt;ИНФА!$F$34,$AB10&gt;ИНФА!$F$35)),"цена вне 1 000–3 000; ","")&amp;IF(COUNTIFS($X$5:$X$64,$X10,$Y$5:$Y$64,$Y10,$Z$5:$Z$64,$Z10)&gt;1,"специалист — один заказ за цикл; ","")&amp;IF($Y10=$AA10,"продавец и покупатель совпадают",""))</f>
        <v/>
      </c>
    </row>
    <row r="11" customFormat="false" ht="15" hidden="false" customHeight="false" outlineLevel="0" collapsed="false">
      <c r="A11" s="36" t="str">
        <f aca="false">ИНФА!$B$6</f>
        <v>Финфлоу</v>
      </c>
      <c r="B11" s="37" t="n">
        <v>1</v>
      </c>
      <c r="C11" s="44"/>
      <c r="D11" s="44" t="s">
        <v>325</v>
      </c>
      <c r="E11" s="44"/>
      <c r="F11" s="44"/>
      <c r="G11" s="36" t="n">
        <f aca="false">IF($D11="","",1+($E11&lt;&gt;"")+($F11&lt;&gt;""))</f>
        <v>1</v>
      </c>
      <c r="H11" s="38" t="n">
        <f aca="false">IF($D11="","",INDEX(ПРОФЕССИИ!$F$5:$H$39,MATCH($D11,ПРОФЕССИИ!$A$5:$A$39,0),$G11))</f>
        <v>500</v>
      </c>
      <c r="I11" s="37" t="str">
        <f aca="false">IF($D11="","",INDEX(ПРОФЕССИИ!$E$5:$E$39,MATCH($D11,ПРОФЕССИИ!$A$5:$A$39,0)))</f>
        <v>Скидка</v>
      </c>
      <c r="J11" s="37" t="str">
        <f aca="false">IF($D11="","",INDEX(ПРОФЕССИИ!$J$5:$J$39,MATCH($D11,ПРОФЕССИИ!$A$5:$A$39,0)))</f>
        <v>Инфраструктура</v>
      </c>
      <c r="K11" s="38" t="n">
        <f aca="false">IF($D11="","",($E11&lt;&gt;"")*ИНФА!$F$27+($F11&lt;&gt;"")*ИНФА!$F$28)</f>
        <v>0</v>
      </c>
      <c r="L11" s="47" t="str">
        <f aca="false">IF($D11="","",IF(AND($F11&lt;&gt;"",$E11=""),"сначала уровень 2! ","")&amp;IF(AND($F11&lt;&gt;"",$E11&lt;&gt;"",N($F11)&lt;=N($E11)),"ур. 3 — в более позднем цикле, чем ур. 2! ","")&amp;IF(OR(AND($E11&lt;&gt;"",COUNTIFS($A$5:$A$76,$A11,$E$5:$E$76,$E11)+COUNTIFS($A$5:$A$76,$A11,$F$5:$F$76,$E11)&gt;1),AND($F11&lt;&gt;"",COUNTIFS($A$5:$A$76,$A11,$E$5:$E$76,$F11)+COUNTIFS($A$5:$A$76,$A11,$F$5:$F$76,$F11)&gt;1)),"больше 1 повышения в цикле у компании; ","")&amp;IF(AND($C11="",ИНФА!$F$5&gt;1),"карточка не используется",""))</f>
        <v/>
      </c>
      <c r="N11" s="44"/>
      <c r="O11" s="44"/>
      <c r="P11" s="44"/>
      <c r="Q11" s="37" t="str">
        <f aca="false">IF(OR($O11="",$P11=""),"",MAX(1,SUMIFS($G$5:$G$76,$A$5:$A$76,$O11,$D$5:$D$76,$P11)))</f>
        <v/>
      </c>
      <c r="R11" s="37" t="str">
        <f aca="false">IF($P11="","",INDEX(ПРОФЕССИИ!$E$5:$E$39,MATCH($P11,ПРОФЕССИИ!$A$5:$A$39,0)))</f>
        <v/>
      </c>
      <c r="S11" s="38" t="str">
        <f aca="false">IF(OR($P11="",$Q11=""),"",INDEX(ПРОФЕССИИ!$F$5:$H$39,MATCH($P11,ПРОФЕССИИ!$A$5:$A$39,0),$Q11))</f>
        <v/>
      </c>
      <c r="T11" s="44"/>
      <c r="U11" s="44"/>
      <c r="V11" s="47" t="str">
        <f aca="false">IF($O11="","",IF(COUNTIFS($N$5:$N$124,$N11,$O$5:$O$124,$O11,$P$5:$P$124,$P11)&gt;1,"повтор в этом цикле!","")&amp;IF(COUNTIFS($A$5:$A$76,$O11,$D$5:$D$76,$P11)=0," такой профессии нет у компании (найм?)",""))</f>
        <v/>
      </c>
      <c r="X11" s="44"/>
      <c r="Y11" s="44"/>
      <c r="Z11" s="44"/>
      <c r="AA11" s="44"/>
      <c r="AB11" s="43"/>
      <c r="AC11" s="44"/>
      <c r="AD11" s="47" t="str">
        <f aca="false">IF($Y11="","",IF(AND($AB11&lt;&gt;"",OR($AB11&lt;ИНФА!$F$34,$AB11&gt;ИНФА!$F$35)),"цена вне 1 000–3 000; ","")&amp;IF(COUNTIFS($X$5:$X$64,$X11,$Y$5:$Y$64,$Y11,$Z$5:$Z$64,$Z11)&gt;1,"специалист — один заказ за цикл; ","")&amp;IF($Y11=$AA11,"продавец и покупатель совпадают",""))</f>
        <v/>
      </c>
    </row>
    <row r="12" customFormat="false" ht="15" hidden="false" customHeight="false" outlineLevel="0" collapsed="false">
      <c r="A12" s="36" t="str">
        <f aca="false">ИНФА!$B$6</f>
        <v>Финфлоу</v>
      </c>
      <c r="B12" s="37" t="n">
        <v>2</v>
      </c>
      <c r="C12" s="44"/>
      <c r="D12" s="44" t="s">
        <v>326</v>
      </c>
      <c r="E12" s="44"/>
      <c r="F12" s="44"/>
      <c r="G12" s="36" t="n">
        <f aca="false">IF($D12="","",1+($E12&lt;&gt;"")+($F12&lt;&gt;""))</f>
        <v>1</v>
      </c>
      <c r="H12" s="38" t="n">
        <f aca="false">IF($D12="","",INDEX(ПРОФЕССИИ!$F$5:$H$39,MATCH($D12,ПРОФЕССИИ!$A$5:$A$39,0),$G12))</f>
        <v>500</v>
      </c>
      <c r="I12" s="37" t="str">
        <f aca="false">IF($D12="","",INDEX(ПРОФЕССИИ!$E$5:$E$39,MATCH($D12,ПРОФЕССИИ!$A$5:$A$39,0)))</f>
        <v>Доход</v>
      </c>
      <c r="J12" s="37" t="str">
        <f aca="false">IF($D12="","",INDEX(ПРОФЕССИИ!$J$5:$J$39,MATCH($D12,ПРОФЕССИИ!$A$5:$A$39,0)))</f>
        <v>Банк (при выплате)</v>
      </c>
      <c r="K12" s="38" t="n">
        <f aca="false">IF($D12="","",($E12&lt;&gt;"")*ИНФА!$F$27+($F12&lt;&gt;"")*ИНФА!$F$28)</f>
        <v>0</v>
      </c>
      <c r="L12" s="47" t="str">
        <f aca="false">IF($D12="","",IF(AND($F12&lt;&gt;"",$E12=""),"сначала уровень 2! ","")&amp;IF(AND($F12&lt;&gt;"",$E12&lt;&gt;"",N($F12)&lt;=N($E12)),"ур. 3 — в более позднем цикле, чем ур. 2! ","")&amp;IF(OR(AND($E12&lt;&gt;"",COUNTIFS($A$5:$A$76,$A12,$E$5:$E$76,$E12)+COUNTIFS($A$5:$A$76,$A12,$F$5:$F$76,$E12)&gt;1),AND($F12&lt;&gt;"",COUNTIFS($A$5:$A$76,$A12,$E$5:$E$76,$F12)+COUNTIFS($A$5:$A$76,$A12,$F$5:$F$76,$F12)&gt;1)),"больше 1 повышения в цикле у компании; ","")&amp;IF(AND($C12="",ИНФА!$F$5&gt;1),"карточка не используется",""))</f>
        <v/>
      </c>
      <c r="N12" s="44"/>
      <c r="O12" s="44"/>
      <c r="P12" s="44"/>
      <c r="Q12" s="37" t="str">
        <f aca="false">IF(OR($O12="",$P12=""),"",MAX(1,SUMIFS($G$5:$G$76,$A$5:$A$76,$O12,$D$5:$D$76,$P12)))</f>
        <v/>
      </c>
      <c r="R12" s="37" t="str">
        <f aca="false">IF($P12="","",INDEX(ПРОФЕССИИ!$E$5:$E$39,MATCH($P12,ПРОФЕССИИ!$A$5:$A$39,0)))</f>
        <v/>
      </c>
      <c r="S12" s="38" t="str">
        <f aca="false">IF(OR($P12="",$Q12=""),"",INDEX(ПРОФЕССИИ!$F$5:$H$39,MATCH($P12,ПРОФЕССИИ!$A$5:$A$39,0),$Q12))</f>
        <v/>
      </c>
      <c r="T12" s="44"/>
      <c r="U12" s="44"/>
      <c r="V12" s="47" t="str">
        <f aca="false">IF($O12="","",IF(COUNTIFS($N$5:$N$124,$N12,$O$5:$O$124,$O12,$P$5:$P$124,$P12)&gt;1,"повтор в этом цикле!","")&amp;IF(COUNTIFS($A$5:$A$76,$O12,$D$5:$D$76,$P12)=0," такой профессии нет у компании (найм?)",""))</f>
        <v/>
      </c>
      <c r="X12" s="44"/>
      <c r="Y12" s="44"/>
      <c r="Z12" s="44"/>
      <c r="AA12" s="44"/>
      <c r="AB12" s="43"/>
      <c r="AC12" s="44"/>
      <c r="AD12" s="47" t="str">
        <f aca="false">IF($Y12="","",IF(AND($AB12&lt;&gt;"",OR($AB12&lt;ИНФА!$F$34,$AB12&gt;ИНФА!$F$35)),"цена вне 1 000–3 000; ","")&amp;IF(COUNTIFS($X$5:$X$64,$X12,$Y$5:$Y$64,$Y12,$Z$5:$Z$64,$Z12)&gt;1,"специалист — один заказ за цикл; ","")&amp;IF($Y12=$AA12,"продавец и покупатель совпадают",""))</f>
        <v/>
      </c>
    </row>
    <row r="13" customFormat="false" ht="15" hidden="false" customHeight="false" outlineLevel="0" collapsed="false">
      <c r="A13" s="36" t="str">
        <f aca="false">ИНФА!$B$6</f>
        <v>Финфлоу</v>
      </c>
      <c r="B13" s="37" t="n">
        <v>3</v>
      </c>
      <c r="C13" s="44"/>
      <c r="D13" s="44" t="s">
        <v>327</v>
      </c>
      <c r="E13" s="44"/>
      <c r="F13" s="44"/>
      <c r="G13" s="36" t="n">
        <f aca="false">IF($D13="","",1+($E13&lt;&gt;"")+($F13&lt;&gt;""))</f>
        <v>1</v>
      </c>
      <c r="H13" s="38" t="n">
        <f aca="false">IF($D13="","",INDEX(ПРОФЕССИИ!$F$5:$H$39,MATCH($D13,ПРОФЕССИИ!$A$5:$A$39,0),$G13))</f>
        <v>500</v>
      </c>
      <c r="I13" s="37" t="str">
        <f aca="false">IF($D13="","",INDEX(ПРОФЕССИИ!$E$5:$E$39,MATCH($D13,ПРОФЕССИИ!$A$5:$A$39,0)))</f>
        <v>Доход</v>
      </c>
      <c r="J13" s="37" t="str">
        <f aca="false">IF($D13="","",INDEX(ПРОФЕССИИ!$J$5:$J$39,MATCH($D13,ПРОФЕССИИ!$A$5:$A$39,0)))</f>
        <v>Банк (при выплате)</v>
      </c>
      <c r="K13" s="38" t="n">
        <f aca="false">IF($D13="","",($E13&lt;&gt;"")*ИНФА!$F$27+($F13&lt;&gt;"")*ИНФА!$F$28)</f>
        <v>0</v>
      </c>
      <c r="L13" s="47" t="str">
        <f aca="false">IF($D13="","",IF(AND($F13&lt;&gt;"",$E13=""),"сначала уровень 2! ","")&amp;IF(AND($F13&lt;&gt;"",$E13&lt;&gt;"",N($F13)&lt;=N($E13)),"ур. 3 — в более позднем цикле, чем ур. 2! ","")&amp;IF(OR(AND($E13&lt;&gt;"",COUNTIFS($A$5:$A$76,$A13,$E$5:$E$76,$E13)+COUNTIFS($A$5:$A$76,$A13,$F$5:$F$76,$E13)&gt;1),AND($F13&lt;&gt;"",COUNTIFS($A$5:$A$76,$A13,$E$5:$E$76,$F13)+COUNTIFS($A$5:$A$76,$A13,$F$5:$F$76,$F13)&gt;1)),"больше 1 повышения в цикле у компании; ","")&amp;IF(AND($C13="",ИНФА!$F$5&gt;1),"карточка не используется",""))</f>
        <v/>
      </c>
      <c r="N13" s="44"/>
      <c r="O13" s="44"/>
      <c r="P13" s="44"/>
      <c r="Q13" s="37" t="str">
        <f aca="false">IF(OR($O13="",$P13=""),"",MAX(1,SUMIFS($G$5:$G$76,$A$5:$A$76,$O13,$D$5:$D$76,$P13)))</f>
        <v/>
      </c>
      <c r="R13" s="37" t="str">
        <f aca="false">IF($P13="","",INDEX(ПРОФЕССИИ!$E$5:$E$39,MATCH($P13,ПРОФЕССИИ!$A$5:$A$39,0)))</f>
        <v/>
      </c>
      <c r="S13" s="38" t="str">
        <f aca="false">IF(OR($P13="",$Q13=""),"",INDEX(ПРОФЕССИИ!$F$5:$H$39,MATCH($P13,ПРОФЕССИИ!$A$5:$A$39,0),$Q13))</f>
        <v/>
      </c>
      <c r="T13" s="44"/>
      <c r="U13" s="44"/>
      <c r="V13" s="47" t="str">
        <f aca="false">IF($O13="","",IF(COUNTIFS($N$5:$N$124,$N13,$O$5:$O$124,$O13,$P$5:$P$124,$P13)&gt;1,"повтор в этом цикле!","")&amp;IF(COUNTIFS($A$5:$A$76,$O13,$D$5:$D$76,$P13)=0," такой профессии нет у компании (найм?)",""))</f>
        <v/>
      </c>
      <c r="X13" s="44"/>
      <c r="Y13" s="44"/>
      <c r="Z13" s="44"/>
      <c r="AA13" s="44"/>
      <c r="AB13" s="43"/>
      <c r="AC13" s="44"/>
      <c r="AD13" s="47" t="str">
        <f aca="false">IF($Y13="","",IF(AND($AB13&lt;&gt;"",OR($AB13&lt;ИНФА!$F$34,$AB13&gt;ИНФА!$F$35)),"цена вне 1 000–3 000; ","")&amp;IF(COUNTIFS($X$5:$X$64,$X13,$Y$5:$Y$64,$Y13,$Z$5:$Z$64,$Z13)&gt;1,"специалист — один заказ за цикл; ","")&amp;IF($Y13=$AA13,"продавец и покупатель совпадают",""))</f>
        <v/>
      </c>
    </row>
    <row r="14" customFormat="false" ht="15" hidden="false" customHeight="false" outlineLevel="0" collapsed="false">
      <c r="A14" s="36" t="str">
        <f aca="false">ИНФА!$B$6</f>
        <v>Финфлоу</v>
      </c>
      <c r="B14" s="37" t="n">
        <v>4</v>
      </c>
      <c r="C14" s="44"/>
      <c r="D14" s="44" t="s">
        <v>328</v>
      </c>
      <c r="E14" s="44"/>
      <c r="F14" s="44"/>
      <c r="G14" s="36" t="n">
        <f aca="false">IF($D14="","",1+($E14&lt;&gt;"")+($F14&lt;&gt;""))</f>
        <v>1</v>
      </c>
      <c r="H14" s="38" t="n">
        <f aca="false">IF($D14="","",INDEX(ПРОФЕССИИ!$F$5:$H$39,MATCH($D14,ПРОФЕССИИ!$A$5:$A$39,0),$G14))</f>
        <v>500</v>
      </c>
      <c r="I14" s="37" t="str">
        <f aca="false">IF($D14="","",INDEX(ПРОФЕССИИ!$E$5:$E$39,MATCH($D14,ПРОФЕССИИ!$A$5:$A$39,0)))</f>
        <v>Доход</v>
      </c>
      <c r="J14" s="37" t="str">
        <f aca="false">IF($D14="","",INDEX(ПРОФЕССИИ!$J$5:$J$39,MATCH($D14,ПРОФЕССИИ!$A$5:$A$39,0)))</f>
        <v>Банк (при выплате)</v>
      </c>
      <c r="K14" s="38" t="n">
        <f aca="false">IF($D14="","",($E14&lt;&gt;"")*ИНФА!$F$27+($F14&lt;&gt;"")*ИНФА!$F$28)</f>
        <v>0</v>
      </c>
      <c r="L14" s="47" t="str">
        <f aca="false">IF($D14="","",IF(AND($F14&lt;&gt;"",$E14=""),"сначала уровень 2! ","")&amp;IF(AND($F14&lt;&gt;"",$E14&lt;&gt;"",N($F14)&lt;=N($E14)),"ур. 3 — в более позднем цикле, чем ур. 2! ","")&amp;IF(OR(AND($E14&lt;&gt;"",COUNTIFS($A$5:$A$76,$A14,$E$5:$E$76,$E14)+COUNTIFS($A$5:$A$76,$A14,$F$5:$F$76,$E14)&gt;1),AND($F14&lt;&gt;"",COUNTIFS($A$5:$A$76,$A14,$E$5:$E$76,$F14)+COUNTIFS($A$5:$A$76,$A14,$F$5:$F$76,$F14)&gt;1)),"больше 1 повышения в цикле у компании; ","")&amp;IF(AND($C14="",ИНФА!$F$5&gt;1),"карточка не используется",""))</f>
        <v/>
      </c>
      <c r="N14" s="44"/>
      <c r="O14" s="44"/>
      <c r="P14" s="44"/>
      <c r="Q14" s="37" t="str">
        <f aca="false">IF(OR($O14="",$P14=""),"",MAX(1,SUMIFS($G$5:$G$76,$A$5:$A$76,$O14,$D$5:$D$76,$P14)))</f>
        <v/>
      </c>
      <c r="R14" s="37" t="str">
        <f aca="false">IF($P14="","",INDEX(ПРОФЕССИИ!$E$5:$E$39,MATCH($P14,ПРОФЕССИИ!$A$5:$A$39,0)))</f>
        <v/>
      </c>
      <c r="S14" s="38" t="str">
        <f aca="false">IF(OR($P14="",$Q14=""),"",INDEX(ПРОФЕССИИ!$F$5:$H$39,MATCH($P14,ПРОФЕССИИ!$A$5:$A$39,0),$Q14))</f>
        <v/>
      </c>
      <c r="T14" s="44"/>
      <c r="U14" s="44"/>
      <c r="V14" s="47" t="str">
        <f aca="false">IF($O14="","",IF(COUNTIFS($N$5:$N$124,$N14,$O$5:$O$124,$O14,$P$5:$P$124,$P14)&gt;1,"повтор в этом цикле!","")&amp;IF(COUNTIFS($A$5:$A$76,$O14,$D$5:$D$76,$P14)=0," такой профессии нет у компании (найм?)",""))</f>
        <v/>
      </c>
      <c r="X14" s="44"/>
      <c r="Y14" s="44"/>
      <c r="Z14" s="44"/>
      <c r="AA14" s="44"/>
      <c r="AB14" s="43"/>
      <c r="AC14" s="44"/>
      <c r="AD14" s="47" t="str">
        <f aca="false">IF($Y14="","",IF(AND($AB14&lt;&gt;"",OR($AB14&lt;ИНФА!$F$34,$AB14&gt;ИНФА!$F$35)),"цена вне 1 000–3 000; ","")&amp;IF(COUNTIFS($X$5:$X$64,$X14,$Y$5:$Y$64,$Y14,$Z$5:$Z$64,$Z14)&gt;1,"специалист — один заказ за цикл; ","")&amp;IF($Y14=$AA14,"продавец и покупатель совпадают",""))</f>
        <v/>
      </c>
    </row>
    <row r="15" customFormat="false" ht="15" hidden="false" customHeight="false" outlineLevel="0" collapsed="false">
      <c r="A15" s="36" t="str">
        <f aca="false">ИНФА!$B$6</f>
        <v>Финфлоу</v>
      </c>
      <c r="B15" s="37" t="n">
        <v>5</v>
      </c>
      <c r="C15" s="44"/>
      <c r="D15" s="44" t="s">
        <v>329</v>
      </c>
      <c r="E15" s="44"/>
      <c r="F15" s="44"/>
      <c r="G15" s="36" t="n">
        <f aca="false">IF($D15="","",1+($E15&lt;&gt;"")+($F15&lt;&gt;""))</f>
        <v>1</v>
      </c>
      <c r="H15" s="38" t="n">
        <f aca="false">IF($D15="","",INDEX(ПРОФЕССИИ!$F$5:$H$39,MATCH($D15,ПРОФЕССИИ!$A$5:$A$39,0),$G15))</f>
        <v>500</v>
      </c>
      <c r="I15" s="37" t="str">
        <f aca="false">IF($D15="","",INDEX(ПРОФЕССИИ!$E$5:$E$39,MATCH($D15,ПРОФЕССИИ!$A$5:$A$39,0)))</f>
        <v>Проект</v>
      </c>
      <c r="J15" s="37" t="str">
        <f aca="false">IF($D15="","",INDEX(ПРОФЕССИИ!$J$5:$J$39,MATCH($D15,ПРОФЕССИИ!$A$5:$A$39,0)))</f>
        <v>Гражданские сервисы</v>
      </c>
      <c r="K15" s="38" t="n">
        <f aca="false">IF($D15="","",($E15&lt;&gt;"")*ИНФА!$F$27+($F15&lt;&gt;"")*ИНФА!$F$28)</f>
        <v>0</v>
      </c>
      <c r="L15" s="47" t="str">
        <f aca="false">IF($D15="","",IF(AND($F15&lt;&gt;"",$E15=""),"сначала уровень 2! ","")&amp;IF(AND($F15&lt;&gt;"",$E15&lt;&gt;"",N($F15)&lt;=N($E15)),"ур. 3 — в более позднем цикле, чем ур. 2! ","")&amp;IF(OR(AND($E15&lt;&gt;"",COUNTIFS($A$5:$A$76,$A15,$E$5:$E$76,$E15)+COUNTIFS($A$5:$A$76,$A15,$F$5:$F$76,$E15)&gt;1),AND($F15&lt;&gt;"",COUNTIFS($A$5:$A$76,$A15,$E$5:$E$76,$F15)+COUNTIFS($A$5:$A$76,$A15,$F$5:$F$76,$F15)&gt;1)),"больше 1 повышения в цикле у компании; ","")&amp;IF(AND($C15="",ИНФА!$F$5&gt;1),"карточка не используется",""))</f>
        <v/>
      </c>
      <c r="N15" s="44"/>
      <c r="O15" s="44"/>
      <c r="P15" s="44"/>
      <c r="Q15" s="37" t="str">
        <f aca="false">IF(OR($O15="",$P15=""),"",MAX(1,SUMIFS($G$5:$G$76,$A$5:$A$76,$O15,$D$5:$D$76,$P15)))</f>
        <v/>
      </c>
      <c r="R15" s="37" t="str">
        <f aca="false">IF($P15="","",INDEX(ПРОФЕССИИ!$E$5:$E$39,MATCH($P15,ПРОФЕССИИ!$A$5:$A$39,0)))</f>
        <v/>
      </c>
      <c r="S15" s="38" t="str">
        <f aca="false">IF(OR($P15="",$Q15=""),"",INDEX(ПРОФЕССИИ!$F$5:$H$39,MATCH($P15,ПРОФЕССИИ!$A$5:$A$39,0),$Q15))</f>
        <v/>
      </c>
      <c r="T15" s="44"/>
      <c r="U15" s="44"/>
      <c r="V15" s="47" t="str">
        <f aca="false">IF($O15="","",IF(COUNTIFS($N$5:$N$124,$N15,$O$5:$O$124,$O15,$P$5:$P$124,$P15)&gt;1,"повтор в этом цикле!","")&amp;IF(COUNTIFS($A$5:$A$76,$O15,$D$5:$D$76,$P15)=0," такой профессии нет у компании (найм?)",""))</f>
        <v/>
      </c>
      <c r="X15" s="44"/>
      <c r="Y15" s="44"/>
      <c r="Z15" s="44"/>
      <c r="AA15" s="44"/>
      <c r="AB15" s="43"/>
      <c r="AC15" s="44"/>
      <c r="AD15" s="47" t="str">
        <f aca="false">IF($Y15="","",IF(AND($AB15&lt;&gt;"",OR($AB15&lt;ИНФА!$F$34,$AB15&gt;ИНФА!$F$35)),"цена вне 1 000–3 000; ","")&amp;IF(COUNTIFS($X$5:$X$64,$X15,$Y$5:$Y$64,$Y15,$Z$5:$Z$64,$Z15)&gt;1,"специалист — один заказ за цикл; ","")&amp;IF($Y15=$AA15,"продавец и покупатель совпадают",""))</f>
        <v/>
      </c>
    </row>
    <row r="16" customFormat="false" ht="15" hidden="false" customHeight="false" outlineLevel="0" collapsed="false">
      <c r="A16" s="36" t="str">
        <f aca="false">ИНФА!$B$6</f>
        <v>Финфлоу</v>
      </c>
      <c r="B16" s="37" t="n">
        <v>6</v>
      </c>
      <c r="C16" s="44"/>
      <c r="D16" s="44" t="s">
        <v>330</v>
      </c>
      <c r="E16" s="44"/>
      <c r="F16" s="44"/>
      <c r="G16" s="36" t="n">
        <f aca="false">IF($D16="","",1+($E16&lt;&gt;"")+($F16&lt;&gt;""))</f>
        <v>1</v>
      </c>
      <c r="H16" s="38" t="n">
        <f aca="false">IF($D16="","",INDEX(ПРОФЕССИИ!$F$5:$H$39,MATCH($D16,ПРОФЕССИИ!$A$5:$A$39,0),$G16))</f>
        <v>500</v>
      </c>
      <c r="I16" s="37" t="str">
        <f aca="false">IF($D16="","",INDEX(ПРОФЕССИИ!$E$5:$E$39,MATCH($D16,ПРОФЕССИИ!$A$5:$A$39,0)))</f>
        <v>Штраф</v>
      </c>
      <c r="J16" s="37" t="str">
        <f aca="false">IF($D16="","",INDEX(ПРОФЕССИИ!$J$5:$J$39,MATCH($D16,ПРОФЕССИИ!$A$5:$A$39,0)))</f>
        <v>Гражданские сервисы</v>
      </c>
      <c r="K16" s="38" t="n">
        <f aca="false">IF($D16="","",($E16&lt;&gt;"")*ИНФА!$F$27+($F16&lt;&gt;"")*ИНФА!$F$28)</f>
        <v>0</v>
      </c>
      <c r="L16" s="47" t="str">
        <f aca="false">IF($D16="","",IF(AND($F16&lt;&gt;"",$E16=""),"сначала уровень 2! ","")&amp;IF(AND($F16&lt;&gt;"",$E16&lt;&gt;"",N($F16)&lt;=N($E16)),"ур. 3 — в более позднем цикле, чем ур. 2! ","")&amp;IF(OR(AND($E16&lt;&gt;"",COUNTIFS($A$5:$A$76,$A16,$E$5:$E$76,$E16)+COUNTIFS($A$5:$A$76,$A16,$F$5:$F$76,$E16)&gt;1),AND($F16&lt;&gt;"",COUNTIFS($A$5:$A$76,$A16,$E$5:$E$76,$F16)+COUNTIFS($A$5:$A$76,$A16,$F$5:$F$76,$F16)&gt;1)),"больше 1 повышения в цикле у компании; ","")&amp;IF(AND($C16="",ИНФА!$F$5&gt;1),"карточка не используется",""))</f>
        <v/>
      </c>
      <c r="N16" s="44"/>
      <c r="O16" s="44"/>
      <c r="P16" s="44"/>
      <c r="Q16" s="37" t="str">
        <f aca="false">IF(OR($O16="",$P16=""),"",MAX(1,SUMIFS($G$5:$G$76,$A$5:$A$76,$O16,$D$5:$D$76,$P16)))</f>
        <v/>
      </c>
      <c r="R16" s="37" t="str">
        <f aca="false">IF($P16="","",INDEX(ПРОФЕССИИ!$E$5:$E$39,MATCH($P16,ПРОФЕССИИ!$A$5:$A$39,0)))</f>
        <v/>
      </c>
      <c r="S16" s="38" t="str">
        <f aca="false">IF(OR($P16="",$Q16=""),"",INDEX(ПРОФЕССИИ!$F$5:$H$39,MATCH($P16,ПРОФЕССИИ!$A$5:$A$39,0),$Q16))</f>
        <v/>
      </c>
      <c r="T16" s="44"/>
      <c r="U16" s="44"/>
      <c r="V16" s="47" t="str">
        <f aca="false">IF($O16="","",IF(COUNTIFS($N$5:$N$124,$N16,$O$5:$O$124,$O16,$P$5:$P$124,$P16)&gt;1,"повтор в этом цикле!","")&amp;IF(COUNTIFS($A$5:$A$76,$O16,$D$5:$D$76,$P16)=0," такой профессии нет у компании (найм?)",""))</f>
        <v/>
      </c>
      <c r="X16" s="44"/>
      <c r="Y16" s="44"/>
      <c r="Z16" s="44"/>
      <c r="AA16" s="44"/>
      <c r="AB16" s="43"/>
      <c r="AC16" s="44"/>
      <c r="AD16" s="47" t="str">
        <f aca="false">IF($Y16="","",IF(AND($AB16&lt;&gt;"",OR($AB16&lt;ИНФА!$F$34,$AB16&gt;ИНФА!$F$35)),"цена вне 1 000–3 000; ","")&amp;IF(COUNTIFS($X$5:$X$64,$X16,$Y$5:$Y$64,$Y16,$Z$5:$Z$64,$Z16)&gt;1,"специалист — один заказ за цикл; ","")&amp;IF($Y16=$AA16,"продавец и покупатель совпадают",""))</f>
        <v/>
      </c>
    </row>
    <row r="17" customFormat="false" ht="15" hidden="false" customHeight="false" outlineLevel="0" collapsed="false">
      <c r="A17" s="36" t="str">
        <f aca="false">ИНФА!$B$7</f>
        <v>Синерс</v>
      </c>
      <c r="B17" s="37" t="n">
        <v>1</v>
      </c>
      <c r="C17" s="44"/>
      <c r="D17" s="44" t="s">
        <v>331</v>
      </c>
      <c r="E17" s="44"/>
      <c r="F17" s="44"/>
      <c r="G17" s="36" t="n">
        <f aca="false">IF($D17="","",1+($E17&lt;&gt;"")+($F17&lt;&gt;""))</f>
        <v>1</v>
      </c>
      <c r="H17" s="38" t="n">
        <f aca="false">IF($D17="","",INDEX(ПРОФЕССИИ!$F$5:$H$39,MATCH($D17,ПРОФЕССИИ!$A$5:$A$39,0),$G17))</f>
        <v>500</v>
      </c>
      <c r="I17" s="37" t="str">
        <f aca="false">IF($D17="","",INDEX(ПРОФЕССИИ!$E$5:$E$39,MATCH($D17,ПРОФЕССИИ!$A$5:$A$39,0)))</f>
        <v>Доход</v>
      </c>
      <c r="J17" s="37" t="str">
        <f aca="false">IF($D17="","",INDEX(ПРОФЕССИИ!$J$5:$J$39,MATCH($D17,ПРОФЕССИИ!$A$5:$A$39,0)))</f>
        <v>Банк (при выплате)</v>
      </c>
      <c r="K17" s="38" t="n">
        <f aca="false">IF($D17="","",($E17&lt;&gt;"")*ИНФА!$F$27+($F17&lt;&gt;"")*ИНФА!$F$28)</f>
        <v>0</v>
      </c>
      <c r="L17" s="47" t="str">
        <f aca="false">IF($D17="","",IF(AND($F17&lt;&gt;"",$E17=""),"сначала уровень 2! ","")&amp;IF(AND($F17&lt;&gt;"",$E17&lt;&gt;"",N($F17)&lt;=N($E17)),"ур. 3 — в более позднем цикле, чем ур. 2! ","")&amp;IF(OR(AND($E17&lt;&gt;"",COUNTIFS($A$5:$A$76,$A17,$E$5:$E$76,$E17)+COUNTIFS($A$5:$A$76,$A17,$F$5:$F$76,$E17)&gt;1),AND($F17&lt;&gt;"",COUNTIFS($A$5:$A$76,$A17,$E$5:$E$76,$F17)+COUNTIFS($A$5:$A$76,$A17,$F$5:$F$76,$F17)&gt;1)),"больше 1 повышения в цикле у компании; ","")&amp;IF(AND($C17="",ИНФА!$F$5&gt;1),"карточка не используется",""))</f>
        <v/>
      </c>
      <c r="N17" s="44"/>
      <c r="O17" s="44"/>
      <c r="P17" s="44"/>
      <c r="Q17" s="37" t="str">
        <f aca="false">IF(OR($O17="",$P17=""),"",MAX(1,SUMIFS($G$5:$G$76,$A$5:$A$76,$O17,$D$5:$D$76,$P17)))</f>
        <v/>
      </c>
      <c r="R17" s="37" t="str">
        <f aca="false">IF($P17="","",INDEX(ПРОФЕССИИ!$E$5:$E$39,MATCH($P17,ПРОФЕССИИ!$A$5:$A$39,0)))</f>
        <v/>
      </c>
      <c r="S17" s="38" t="str">
        <f aca="false">IF(OR($P17="",$Q17=""),"",INDEX(ПРОФЕССИИ!$F$5:$H$39,MATCH($P17,ПРОФЕССИИ!$A$5:$A$39,0),$Q17))</f>
        <v/>
      </c>
      <c r="T17" s="44"/>
      <c r="U17" s="44"/>
      <c r="V17" s="47" t="str">
        <f aca="false">IF($O17="","",IF(COUNTIFS($N$5:$N$124,$N17,$O$5:$O$124,$O17,$P$5:$P$124,$P17)&gt;1,"повтор в этом цикле!","")&amp;IF(COUNTIFS($A$5:$A$76,$O17,$D$5:$D$76,$P17)=0," такой профессии нет у компании (найм?)",""))</f>
        <v/>
      </c>
      <c r="X17" s="44"/>
      <c r="Y17" s="44"/>
      <c r="Z17" s="44"/>
      <c r="AA17" s="44"/>
      <c r="AB17" s="43"/>
      <c r="AC17" s="44"/>
      <c r="AD17" s="47" t="str">
        <f aca="false">IF($Y17="","",IF(AND($AB17&lt;&gt;"",OR($AB17&lt;ИНФА!$F$34,$AB17&gt;ИНФА!$F$35)),"цена вне 1 000–3 000; ","")&amp;IF(COUNTIFS($X$5:$X$64,$X17,$Y$5:$Y$64,$Y17,$Z$5:$Z$64,$Z17)&gt;1,"специалист — один заказ за цикл; ","")&amp;IF($Y17=$AA17,"продавец и покупатель совпадают",""))</f>
        <v/>
      </c>
    </row>
    <row r="18" customFormat="false" ht="15" hidden="false" customHeight="false" outlineLevel="0" collapsed="false">
      <c r="A18" s="36" t="str">
        <f aca="false">ИНФА!$B$7</f>
        <v>Синерс</v>
      </c>
      <c r="B18" s="37" t="n">
        <v>2</v>
      </c>
      <c r="C18" s="44"/>
      <c r="D18" s="44" t="s">
        <v>332</v>
      </c>
      <c r="E18" s="44"/>
      <c r="F18" s="44"/>
      <c r="G18" s="36" t="n">
        <f aca="false">IF($D18="","",1+($E18&lt;&gt;"")+($F18&lt;&gt;""))</f>
        <v>1</v>
      </c>
      <c r="H18" s="38" t="n">
        <f aca="false">IF($D18="","",INDEX(ПРОФЕССИИ!$F$5:$H$39,MATCH($D18,ПРОФЕССИИ!$A$5:$A$39,0),$G18))</f>
        <v>500</v>
      </c>
      <c r="I18" s="37" t="str">
        <f aca="false">IF($D18="","",INDEX(ПРОФЕССИИ!$E$5:$E$39,MATCH($D18,ПРОФЕССИИ!$A$5:$A$39,0)))</f>
        <v>Доход</v>
      </c>
      <c r="J18" s="37" t="str">
        <f aca="false">IF($D18="","",INDEX(ПРОФЕССИИ!$J$5:$J$39,MATCH($D18,ПРОФЕССИИ!$A$5:$A$39,0)))</f>
        <v>Банк (при выплате)</v>
      </c>
      <c r="K18" s="38" t="n">
        <f aca="false">IF($D18="","",($E18&lt;&gt;"")*ИНФА!$F$27+($F18&lt;&gt;"")*ИНФА!$F$28)</f>
        <v>0</v>
      </c>
      <c r="L18" s="47" t="str">
        <f aca="false">IF($D18="","",IF(AND($F18&lt;&gt;"",$E18=""),"сначала уровень 2! ","")&amp;IF(AND($F18&lt;&gt;"",$E18&lt;&gt;"",N($F18)&lt;=N($E18)),"ур. 3 — в более позднем цикле, чем ур. 2! ","")&amp;IF(OR(AND($E18&lt;&gt;"",COUNTIFS($A$5:$A$76,$A18,$E$5:$E$76,$E18)+COUNTIFS($A$5:$A$76,$A18,$F$5:$F$76,$E18)&gt;1),AND($F18&lt;&gt;"",COUNTIFS($A$5:$A$76,$A18,$E$5:$E$76,$F18)+COUNTIFS($A$5:$A$76,$A18,$F$5:$F$76,$F18)&gt;1)),"больше 1 повышения в цикле у компании; ","")&amp;IF(AND($C18="",ИНФА!$F$5&gt;1),"карточка не используется",""))</f>
        <v/>
      </c>
      <c r="N18" s="44"/>
      <c r="O18" s="44"/>
      <c r="P18" s="44"/>
      <c r="Q18" s="37" t="str">
        <f aca="false">IF(OR($O18="",$P18=""),"",MAX(1,SUMIFS($G$5:$G$76,$A$5:$A$76,$O18,$D$5:$D$76,$P18)))</f>
        <v/>
      </c>
      <c r="R18" s="37" t="str">
        <f aca="false">IF($P18="","",INDEX(ПРОФЕССИИ!$E$5:$E$39,MATCH($P18,ПРОФЕССИИ!$A$5:$A$39,0)))</f>
        <v/>
      </c>
      <c r="S18" s="38" t="str">
        <f aca="false">IF(OR($P18="",$Q18=""),"",INDEX(ПРОФЕССИИ!$F$5:$H$39,MATCH($P18,ПРОФЕССИИ!$A$5:$A$39,0),$Q18))</f>
        <v/>
      </c>
      <c r="T18" s="44"/>
      <c r="U18" s="44"/>
      <c r="V18" s="47" t="str">
        <f aca="false">IF($O18="","",IF(COUNTIFS($N$5:$N$124,$N18,$O$5:$O$124,$O18,$P$5:$P$124,$P18)&gt;1,"повтор в этом цикле!","")&amp;IF(COUNTIFS($A$5:$A$76,$O18,$D$5:$D$76,$P18)=0," такой профессии нет у компании (найм?)",""))</f>
        <v/>
      </c>
      <c r="X18" s="44"/>
      <c r="Y18" s="44"/>
      <c r="Z18" s="44"/>
      <c r="AA18" s="44"/>
      <c r="AB18" s="43"/>
      <c r="AC18" s="44"/>
      <c r="AD18" s="47" t="str">
        <f aca="false">IF($Y18="","",IF(AND($AB18&lt;&gt;"",OR($AB18&lt;ИНФА!$F$34,$AB18&gt;ИНФА!$F$35)),"цена вне 1 000–3 000; ","")&amp;IF(COUNTIFS($X$5:$X$64,$X18,$Y$5:$Y$64,$Y18,$Z$5:$Z$64,$Z18)&gt;1,"специалист — один заказ за цикл; ","")&amp;IF($Y18=$AA18,"продавец и покупатель совпадают",""))</f>
        <v/>
      </c>
    </row>
    <row r="19" customFormat="false" ht="15" hidden="false" customHeight="false" outlineLevel="0" collapsed="false">
      <c r="A19" s="36" t="str">
        <f aca="false">ИНФА!$B$7</f>
        <v>Синерс</v>
      </c>
      <c r="B19" s="37" t="n">
        <v>3</v>
      </c>
      <c r="C19" s="44"/>
      <c r="D19" s="44" t="s">
        <v>333</v>
      </c>
      <c r="E19" s="44"/>
      <c r="F19" s="44"/>
      <c r="G19" s="36" t="n">
        <f aca="false">IF($D19="","",1+($E19&lt;&gt;"")+($F19&lt;&gt;""))</f>
        <v>1</v>
      </c>
      <c r="H19" s="38" t="n">
        <f aca="false">IF($D19="","",INDEX(ПРОФЕССИИ!$F$5:$H$39,MATCH($D19,ПРОФЕССИИ!$A$5:$A$39,0),$G19))</f>
        <v>500</v>
      </c>
      <c r="I19" s="37" t="str">
        <f aca="false">IF($D19="","",INDEX(ПРОФЕССИИ!$E$5:$E$39,MATCH($D19,ПРОФЕССИИ!$A$5:$A$39,0)))</f>
        <v>Скидка</v>
      </c>
      <c r="J19" s="37" t="str">
        <f aca="false">IF($D19="","",INDEX(ПРОФЕССИИ!$J$5:$J$39,MATCH($D19,ПРОФЕССИИ!$A$5:$A$39,0)))</f>
        <v>Инфраструктура</v>
      </c>
      <c r="K19" s="38" t="n">
        <f aca="false">IF($D19="","",($E19&lt;&gt;"")*ИНФА!$F$27+($F19&lt;&gt;"")*ИНФА!$F$28)</f>
        <v>0</v>
      </c>
      <c r="L19" s="47" t="str">
        <f aca="false">IF($D19="","",IF(AND($F19&lt;&gt;"",$E19=""),"сначала уровень 2! ","")&amp;IF(AND($F19&lt;&gt;"",$E19&lt;&gt;"",N($F19)&lt;=N($E19)),"ур. 3 — в более позднем цикле, чем ур. 2! ","")&amp;IF(OR(AND($E19&lt;&gt;"",COUNTIFS($A$5:$A$76,$A19,$E$5:$E$76,$E19)+COUNTIFS($A$5:$A$76,$A19,$F$5:$F$76,$E19)&gt;1),AND($F19&lt;&gt;"",COUNTIFS($A$5:$A$76,$A19,$E$5:$E$76,$F19)+COUNTIFS($A$5:$A$76,$A19,$F$5:$F$76,$F19)&gt;1)),"больше 1 повышения в цикле у компании; ","")&amp;IF(AND($C19="",ИНФА!$F$5&gt;1),"карточка не используется",""))</f>
        <v/>
      </c>
      <c r="N19" s="44"/>
      <c r="O19" s="44"/>
      <c r="P19" s="44"/>
      <c r="Q19" s="37" t="str">
        <f aca="false">IF(OR($O19="",$P19=""),"",MAX(1,SUMIFS($G$5:$G$76,$A$5:$A$76,$O19,$D$5:$D$76,$P19)))</f>
        <v/>
      </c>
      <c r="R19" s="37" t="str">
        <f aca="false">IF($P19="","",INDEX(ПРОФЕССИИ!$E$5:$E$39,MATCH($P19,ПРОФЕССИИ!$A$5:$A$39,0)))</f>
        <v/>
      </c>
      <c r="S19" s="38" t="str">
        <f aca="false">IF(OR($P19="",$Q19=""),"",INDEX(ПРОФЕССИИ!$F$5:$H$39,MATCH($P19,ПРОФЕССИИ!$A$5:$A$39,0),$Q19))</f>
        <v/>
      </c>
      <c r="T19" s="44"/>
      <c r="U19" s="44"/>
      <c r="V19" s="47" t="str">
        <f aca="false">IF($O19="","",IF(COUNTIFS($N$5:$N$124,$N19,$O$5:$O$124,$O19,$P$5:$P$124,$P19)&gt;1,"повтор в этом цикле!","")&amp;IF(COUNTIFS($A$5:$A$76,$O19,$D$5:$D$76,$P19)=0," такой профессии нет у компании (найм?)",""))</f>
        <v/>
      </c>
      <c r="X19" s="44"/>
      <c r="Y19" s="44"/>
      <c r="Z19" s="44"/>
      <c r="AA19" s="44"/>
      <c r="AB19" s="43"/>
      <c r="AC19" s="44"/>
      <c r="AD19" s="47" t="str">
        <f aca="false">IF($Y19="","",IF(AND($AB19&lt;&gt;"",OR($AB19&lt;ИНФА!$F$34,$AB19&gt;ИНФА!$F$35)),"цена вне 1 000–3 000; ","")&amp;IF(COUNTIFS($X$5:$X$64,$X19,$Y$5:$Y$64,$Y19,$Z$5:$Z$64,$Z19)&gt;1,"специалист — один заказ за цикл; ","")&amp;IF($Y19=$AA19,"продавец и покупатель совпадают",""))</f>
        <v/>
      </c>
    </row>
    <row r="20" customFormat="false" ht="15" hidden="false" customHeight="false" outlineLevel="0" collapsed="false">
      <c r="A20" s="36" t="str">
        <f aca="false">ИНФА!$B$7</f>
        <v>Синерс</v>
      </c>
      <c r="B20" s="37" t="n">
        <v>4</v>
      </c>
      <c r="C20" s="44"/>
      <c r="D20" s="44" t="s">
        <v>334</v>
      </c>
      <c r="E20" s="44"/>
      <c r="F20" s="44"/>
      <c r="G20" s="36" t="n">
        <f aca="false">IF($D20="","",1+($E20&lt;&gt;"")+($F20&lt;&gt;""))</f>
        <v>1</v>
      </c>
      <c r="H20" s="38" t="n">
        <f aca="false">IF($D20="","",INDEX(ПРОФЕССИИ!$F$5:$H$39,MATCH($D20,ПРОФЕССИИ!$A$5:$A$39,0),$G20))</f>
        <v>500</v>
      </c>
      <c r="I20" s="37" t="str">
        <f aca="false">IF($D20="","",INDEX(ПРОФЕССИИ!$E$5:$E$39,MATCH($D20,ПРОФЕССИИ!$A$5:$A$39,0)))</f>
        <v>Доход</v>
      </c>
      <c r="J20" s="37" t="str">
        <f aca="false">IF($D20="","",INDEX(ПРОФЕССИИ!$J$5:$J$39,MATCH($D20,ПРОФЕССИИ!$A$5:$A$39,0)))</f>
        <v>Банк (при выплате)</v>
      </c>
      <c r="K20" s="38" t="n">
        <f aca="false">IF($D20="","",($E20&lt;&gt;"")*ИНФА!$F$27+($F20&lt;&gt;"")*ИНФА!$F$28)</f>
        <v>0</v>
      </c>
      <c r="L20" s="47" t="str">
        <f aca="false">IF($D20="","",IF(AND($F20&lt;&gt;"",$E20=""),"сначала уровень 2! ","")&amp;IF(AND($F20&lt;&gt;"",$E20&lt;&gt;"",N($F20)&lt;=N($E20)),"ур. 3 — в более позднем цикле, чем ур. 2! ","")&amp;IF(OR(AND($E20&lt;&gt;"",COUNTIFS($A$5:$A$76,$A20,$E$5:$E$76,$E20)+COUNTIFS($A$5:$A$76,$A20,$F$5:$F$76,$E20)&gt;1),AND($F20&lt;&gt;"",COUNTIFS($A$5:$A$76,$A20,$E$5:$E$76,$F20)+COUNTIFS($A$5:$A$76,$A20,$F$5:$F$76,$F20)&gt;1)),"больше 1 повышения в цикле у компании; ","")&amp;IF(AND($C20="",ИНФА!$F$5&gt;1),"карточка не используется",""))</f>
        <v/>
      </c>
      <c r="N20" s="44"/>
      <c r="O20" s="44"/>
      <c r="P20" s="44"/>
      <c r="Q20" s="37" t="str">
        <f aca="false">IF(OR($O20="",$P20=""),"",MAX(1,SUMIFS($G$5:$G$76,$A$5:$A$76,$O20,$D$5:$D$76,$P20)))</f>
        <v/>
      </c>
      <c r="R20" s="37" t="str">
        <f aca="false">IF($P20="","",INDEX(ПРОФЕССИИ!$E$5:$E$39,MATCH($P20,ПРОФЕССИИ!$A$5:$A$39,0)))</f>
        <v/>
      </c>
      <c r="S20" s="38" t="str">
        <f aca="false">IF(OR($P20="",$Q20=""),"",INDEX(ПРОФЕССИИ!$F$5:$H$39,MATCH($P20,ПРОФЕССИИ!$A$5:$A$39,0),$Q20))</f>
        <v/>
      </c>
      <c r="T20" s="44"/>
      <c r="U20" s="44"/>
      <c r="V20" s="47" t="str">
        <f aca="false">IF($O20="","",IF(COUNTIFS($N$5:$N$124,$N20,$O$5:$O$124,$O20,$P$5:$P$124,$P20)&gt;1,"повтор в этом цикле!","")&amp;IF(COUNTIFS($A$5:$A$76,$O20,$D$5:$D$76,$P20)=0," такой профессии нет у компании (найм?)",""))</f>
        <v/>
      </c>
      <c r="X20" s="44"/>
      <c r="Y20" s="44"/>
      <c r="Z20" s="44"/>
      <c r="AA20" s="44"/>
      <c r="AB20" s="43"/>
      <c r="AC20" s="44"/>
      <c r="AD20" s="47" t="str">
        <f aca="false">IF($Y20="","",IF(AND($AB20&lt;&gt;"",OR($AB20&lt;ИНФА!$F$34,$AB20&gt;ИНФА!$F$35)),"цена вне 1 000–3 000; ","")&amp;IF(COUNTIFS($X$5:$X$64,$X20,$Y$5:$Y$64,$Y20,$Z$5:$Z$64,$Z20)&gt;1,"специалист — один заказ за цикл; ","")&amp;IF($Y20=$AA20,"продавец и покупатель совпадают",""))</f>
        <v/>
      </c>
    </row>
    <row r="21" customFormat="false" ht="15" hidden="false" customHeight="false" outlineLevel="0" collapsed="false">
      <c r="A21" s="36" t="str">
        <f aca="false">ИНФА!$B$7</f>
        <v>Синерс</v>
      </c>
      <c r="B21" s="37" t="n">
        <v>5</v>
      </c>
      <c r="C21" s="44"/>
      <c r="D21" s="44" t="s">
        <v>335</v>
      </c>
      <c r="E21" s="44"/>
      <c r="F21" s="44"/>
      <c r="G21" s="36" t="n">
        <f aca="false">IF($D21="","",1+($E21&lt;&gt;"")+($F21&lt;&gt;""))</f>
        <v>1</v>
      </c>
      <c r="H21" s="38" t="n">
        <f aca="false">IF($D21="","",INDEX(ПРОФЕССИИ!$F$5:$H$39,MATCH($D21,ПРОФЕССИИ!$A$5:$A$39,0),$G21))</f>
        <v>500</v>
      </c>
      <c r="I21" s="37" t="str">
        <f aca="false">IF($D21="","",INDEX(ПРОФЕССИИ!$E$5:$E$39,MATCH($D21,ПРОФЕССИИ!$A$5:$A$39,0)))</f>
        <v>Проект</v>
      </c>
      <c r="J21" s="37" t="str">
        <f aca="false">IF($D21="","",INDEX(ПРОФЕССИИ!$J$5:$J$39,MATCH($D21,ПРОФЕССИИ!$A$5:$A$39,0)))</f>
        <v>Гражданские сервисы</v>
      </c>
      <c r="K21" s="38" t="n">
        <f aca="false">IF($D21="","",($E21&lt;&gt;"")*ИНФА!$F$27+($F21&lt;&gt;"")*ИНФА!$F$28)</f>
        <v>0</v>
      </c>
      <c r="L21" s="47" t="str">
        <f aca="false">IF($D21="","",IF(AND($F21&lt;&gt;"",$E21=""),"сначала уровень 2! ","")&amp;IF(AND($F21&lt;&gt;"",$E21&lt;&gt;"",N($F21)&lt;=N($E21)),"ур. 3 — в более позднем цикле, чем ур. 2! ","")&amp;IF(OR(AND($E21&lt;&gt;"",COUNTIFS($A$5:$A$76,$A21,$E$5:$E$76,$E21)+COUNTIFS($A$5:$A$76,$A21,$F$5:$F$76,$E21)&gt;1),AND($F21&lt;&gt;"",COUNTIFS($A$5:$A$76,$A21,$E$5:$E$76,$F21)+COUNTIFS($A$5:$A$76,$A21,$F$5:$F$76,$F21)&gt;1)),"больше 1 повышения в цикле у компании; ","")&amp;IF(AND($C21="",ИНФА!$F$5&gt;1),"карточка не используется",""))</f>
        <v/>
      </c>
      <c r="N21" s="44"/>
      <c r="O21" s="44"/>
      <c r="P21" s="44"/>
      <c r="Q21" s="37" t="str">
        <f aca="false">IF(OR($O21="",$P21=""),"",MAX(1,SUMIFS($G$5:$G$76,$A$5:$A$76,$O21,$D$5:$D$76,$P21)))</f>
        <v/>
      </c>
      <c r="R21" s="37" t="str">
        <f aca="false">IF($P21="","",INDEX(ПРОФЕССИИ!$E$5:$E$39,MATCH($P21,ПРОФЕССИИ!$A$5:$A$39,0)))</f>
        <v/>
      </c>
      <c r="S21" s="38" t="str">
        <f aca="false">IF(OR($P21="",$Q21=""),"",INDEX(ПРОФЕССИИ!$F$5:$H$39,MATCH($P21,ПРОФЕССИИ!$A$5:$A$39,0),$Q21))</f>
        <v/>
      </c>
      <c r="T21" s="44"/>
      <c r="U21" s="44"/>
      <c r="V21" s="47" t="str">
        <f aca="false">IF($O21="","",IF(COUNTIFS($N$5:$N$124,$N21,$O$5:$O$124,$O21,$P$5:$P$124,$P21)&gt;1,"повтор в этом цикле!","")&amp;IF(COUNTIFS($A$5:$A$76,$O21,$D$5:$D$76,$P21)=0," такой профессии нет у компании (найм?)",""))</f>
        <v/>
      </c>
      <c r="X21" s="44"/>
      <c r="Y21" s="44"/>
      <c r="Z21" s="44"/>
      <c r="AA21" s="44"/>
      <c r="AB21" s="43"/>
      <c r="AC21" s="44"/>
      <c r="AD21" s="47" t="str">
        <f aca="false">IF($Y21="","",IF(AND($AB21&lt;&gt;"",OR($AB21&lt;ИНФА!$F$34,$AB21&gt;ИНФА!$F$35)),"цена вне 1 000–3 000; ","")&amp;IF(COUNTIFS($X$5:$X$64,$X21,$Y$5:$Y$64,$Y21,$Z$5:$Z$64,$Z21)&gt;1,"специалист — один заказ за цикл; ","")&amp;IF($Y21=$AA21,"продавец и покупатель совпадают",""))</f>
        <v/>
      </c>
    </row>
    <row r="22" customFormat="false" ht="15" hidden="false" customHeight="false" outlineLevel="0" collapsed="false">
      <c r="A22" s="36" t="str">
        <f aca="false">ИНФА!$B$7</f>
        <v>Синерс</v>
      </c>
      <c r="B22" s="37" t="n">
        <v>6</v>
      </c>
      <c r="C22" s="44"/>
      <c r="D22" s="44" t="s">
        <v>336</v>
      </c>
      <c r="E22" s="44"/>
      <c r="F22" s="44"/>
      <c r="G22" s="36" t="n">
        <f aca="false">IF($D22="","",1+($E22&lt;&gt;"")+($F22&lt;&gt;""))</f>
        <v>1</v>
      </c>
      <c r="H22" s="38" t="n">
        <f aca="false">IF($D22="","",INDEX(ПРОФЕССИИ!$F$5:$H$39,MATCH($D22,ПРОФЕССИИ!$A$5:$A$39,0),$G22))</f>
        <v>500</v>
      </c>
      <c r="I22" s="37" t="str">
        <f aca="false">IF($D22="","",INDEX(ПРОФЕССИИ!$E$5:$E$39,MATCH($D22,ПРОФЕССИИ!$A$5:$A$39,0)))</f>
        <v>Штраф</v>
      </c>
      <c r="J22" s="37" t="str">
        <f aca="false">IF($D22="","",INDEX(ПРОФЕССИИ!$J$5:$J$39,MATCH($D22,ПРОФЕССИИ!$A$5:$A$39,0)))</f>
        <v>Гражданские сервисы</v>
      </c>
      <c r="K22" s="38" t="n">
        <f aca="false">IF($D22="","",($E22&lt;&gt;"")*ИНФА!$F$27+($F22&lt;&gt;"")*ИНФА!$F$28)</f>
        <v>0</v>
      </c>
      <c r="L22" s="47" t="str">
        <f aca="false">IF($D22="","",IF(AND($F22&lt;&gt;"",$E22=""),"сначала уровень 2! ","")&amp;IF(AND($F22&lt;&gt;"",$E22&lt;&gt;"",N($F22)&lt;=N($E22)),"ур. 3 — в более позднем цикле, чем ур. 2! ","")&amp;IF(OR(AND($E22&lt;&gt;"",COUNTIFS($A$5:$A$76,$A22,$E$5:$E$76,$E22)+COUNTIFS($A$5:$A$76,$A22,$F$5:$F$76,$E22)&gt;1),AND($F22&lt;&gt;"",COUNTIFS($A$5:$A$76,$A22,$E$5:$E$76,$F22)+COUNTIFS($A$5:$A$76,$A22,$F$5:$F$76,$F22)&gt;1)),"больше 1 повышения в цикле у компании; ","")&amp;IF(AND($C22="",ИНФА!$F$5&gt;1),"карточка не используется",""))</f>
        <v/>
      </c>
      <c r="N22" s="44"/>
      <c r="O22" s="44"/>
      <c r="P22" s="44"/>
      <c r="Q22" s="37" t="str">
        <f aca="false">IF(OR($O22="",$P22=""),"",MAX(1,SUMIFS($G$5:$G$76,$A$5:$A$76,$O22,$D$5:$D$76,$P22)))</f>
        <v/>
      </c>
      <c r="R22" s="37" t="str">
        <f aca="false">IF($P22="","",INDEX(ПРОФЕССИИ!$E$5:$E$39,MATCH($P22,ПРОФЕССИИ!$A$5:$A$39,0)))</f>
        <v/>
      </c>
      <c r="S22" s="38" t="str">
        <f aca="false">IF(OR($P22="",$Q22=""),"",INDEX(ПРОФЕССИИ!$F$5:$H$39,MATCH($P22,ПРОФЕССИИ!$A$5:$A$39,0),$Q22))</f>
        <v/>
      </c>
      <c r="T22" s="44"/>
      <c r="U22" s="44"/>
      <c r="V22" s="47" t="str">
        <f aca="false">IF($O22="","",IF(COUNTIFS($N$5:$N$124,$N22,$O$5:$O$124,$O22,$P$5:$P$124,$P22)&gt;1,"повтор в этом цикле!","")&amp;IF(COUNTIFS($A$5:$A$76,$O22,$D$5:$D$76,$P22)=0," такой профессии нет у компании (найм?)",""))</f>
        <v/>
      </c>
      <c r="X22" s="44"/>
      <c r="Y22" s="44"/>
      <c r="Z22" s="44"/>
      <c r="AA22" s="44"/>
      <c r="AB22" s="43"/>
      <c r="AC22" s="44"/>
      <c r="AD22" s="47" t="str">
        <f aca="false">IF($Y22="","",IF(AND($AB22&lt;&gt;"",OR($AB22&lt;ИНФА!$F$34,$AB22&gt;ИНФА!$F$35)),"цена вне 1 000–3 000; ","")&amp;IF(COUNTIFS($X$5:$X$64,$X22,$Y$5:$Y$64,$Y22,$Z$5:$Z$64,$Z22)&gt;1,"специалист — один заказ за цикл; ","")&amp;IF($Y22=$AA22,"продавец и покупатель совпадают",""))</f>
        <v/>
      </c>
    </row>
    <row r="23" customFormat="false" ht="15" hidden="false" customHeight="false" outlineLevel="0" collapsed="false">
      <c r="A23" s="36" t="str">
        <f aca="false">ИНФА!$B$8</f>
        <v>Горизонт</v>
      </c>
      <c r="B23" s="37" t="n">
        <v>1</v>
      </c>
      <c r="C23" s="44"/>
      <c r="D23" s="44" t="s">
        <v>337</v>
      </c>
      <c r="E23" s="44"/>
      <c r="F23" s="44"/>
      <c r="G23" s="36" t="n">
        <f aca="false">IF($D23="","",1+($E23&lt;&gt;"")+($F23&lt;&gt;""))</f>
        <v>1</v>
      </c>
      <c r="H23" s="38" t="n">
        <f aca="false">IF($D23="","",INDEX(ПРОФЕССИИ!$F$5:$H$39,MATCH($D23,ПРОФЕССИИ!$A$5:$A$39,0),$G23))</f>
        <v>500</v>
      </c>
      <c r="I23" s="37" t="str">
        <f aca="false">IF($D23="","",INDEX(ПРОФЕССИИ!$E$5:$E$39,MATCH($D23,ПРОФЕССИИ!$A$5:$A$39,0)))</f>
        <v>Доход</v>
      </c>
      <c r="J23" s="37" t="str">
        <f aca="false">IF($D23="","",INDEX(ПРОФЕССИИ!$J$5:$J$39,MATCH($D23,ПРОФЕССИИ!$A$5:$A$39,0)))</f>
        <v>Банк (при выплате)</v>
      </c>
      <c r="K23" s="38" t="n">
        <f aca="false">IF($D23="","",($E23&lt;&gt;"")*ИНФА!$F$27+($F23&lt;&gt;"")*ИНФА!$F$28)</f>
        <v>0</v>
      </c>
      <c r="L23" s="47" t="str">
        <f aca="false">IF($D23="","",IF(AND($F23&lt;&gt;"",$E23=""),"сначала уровень 2! ","")&amp;IF(AND($F23&lt;&gt;"",$E23&lt;&gt;"",N($F23)&lt;=N($E23)),"ур. 3 — в более позднем цикле, чем ур. 2! ","")&amp;IF(OR(AND($E23&lt;&gt;"",COUNTIFS($A$5:$A$76,$A23,$E$5:$E$76,$E23)+COUNTIFS($A$5:$A$76,$A23,$F$5:$F$76,$E23)&gt;1),AND($F23&lt;&gt;"",COUNTIFS($A$5:$A$76,$A23,$E$5:$E$76,$F23)+COUNTIFS($A$5:$A$76,$A23,$F$5:$F$76,$F23)&gt;1)),"больше 1 повышения в цикле у компании; ","")&amp;IF(AND($C23="",ИНФА!$F$5&gt;1),"карточка не используется",""))</f>
        <v/>
      </c>
      <c r="N23" s="44"/>
      <c r="O23" s="44"/>
      <c r="P23" s="44"/>
      <c r="Q23" s="37" t="str">
        <f aca="false">IF(OR($O23="",$P23=""),"",MAX(1,SUMIFS($G$5:$G$76,$A$5:$A$76,$O23,$D$5:$D$76,$P23)))</f>
        <v/>
      </c>
      <c r="R23" s="37" t="str">
        <f aca="false">IF($P23="","",INDEX(ПРОФЕССИИ!$E$5:$E$39,MATCH($P23,ПРОФЕССИИ!$A$5:$A$39,0)))</f>
        <v/>
      </c>
      <c r="S23" s="38" t="str">
        <f aca="false">IF(OR($P23="",$Q23=""),"",INDEX(ПРОФЕССИИ!$F$5:$H$39,MATCH($P23,ПРОФЕССИИ!$A$5:$A$39,0),$Q23))</f>
        <v/>
      </c>
      <c r="T23" s="44"/>
      <c r="U23" s="44"/>
      <c r="V23" s="47" t="str">
        <f aca="false">IF($O23="","",IF(COUNTIFS($N$5:$N$124,$N23,$O$5:$O$124,$O23,$P$5:$P$124,$P23)&gt;1,"повтор в этом цикле!","")&amp;IF(COUNTIFS($A$5:$A$76,$O23,$D$5:$D$76,$P23)=0," такой профессии нет у компании (найм?)",""))</f>
        <v/>
      </c>
      <c r="X23" s="44"/>
      <c r="Y23" s="44"/>
      <c r="Z23" s="44"/>
      <c r="AA23" s="44"/>
      <c r="AB23" s="43"/>
      <c r="AC23" s="44"/>
      <c r="AD23" s="47" t="str">
        <f aca="false">IF($Y23="","",IF(AND($AB23&lt;&gt;"",OR($AB23&lt;ИНФА!$F$34,$AB23&gt;ИНФА!$F$35)),"цена вне 1 000–3 000; ","")&amp;IF(COUNTIFS($X$5:$X$64,$X23,$Y$5:$Y$64,$Y23,$Z$5:$Z$64,$Z23)&gt;1,"специалист — один заказ за цикл; ","")&amp;IF($Y23=$AA23,"продавец и покупатель совпадают",""))</f>
        <v/>
      </c>
    </row>
    <row r="24" customFormat="false" ht="15" hidden="false" customHeight="false" outlineLevel="0" collapsed="false">
      <c r="A24" s="36" t="str">
        <f aca="false">ИНФА!$B$8</f>
        <v>Горизонт</v>
      </c>
      <c r="B24" s="37" t="n">
        <v>2</v>
      </c>
      <c r="C24" s="44"/>
      <c r="D24" s="44" t="s">
        <v>338</v>
      </c>
      <c r="E24" s="44"/>
      <c r="F24" s="44"/>
      <c r="G24" s="36" t="n">
        <f aca="false">IF($D24="","",1+($E24&lt;&gt;"")+($F24&lt;&gt;""))</f>
        <v>1</v>
      </c>
      <c r="H24" s="38" t="n">
        <f aca="false">IF($D24="","",INDEX(ПРОФЕССИИ!$F$5:$H$39,MATCH($D24,ПРОФЕССИИ!$A$5:$A$39,0),$G24))</f>
        <v>500</v>
      </c>
      <c r="I24" s="37" t="str">
        <f aca="false">IF($D24="","",INDEX(ПРОФЕССИИ!$E$5:$E$39,MATCH($D24,ПРОФЕССИИ!$A$5:$A$39,0)))</f>
        <v>Доход</v>
      </c>
      <c r="J24" s="37" t="str">
        <f aca="false">IF($D24="","",INDEX(ПРОФЕССИИ!$J$5:$J$39,MATCH($D24,ПРОФЕССИИ!$A$5:$A$39,0)))</f>
        <v>Банк (при выплате)</v>
      </c>
      <c r="K24" s="38" t="n">
        <f aca="false">IF($D24="","",($E24&lt;&gt;"")*ИНФА!$F$27+($F24&lt;&gt;"")*ИНФА!$F$28)</f>
        <v>0</v>
      </c>
      <c r="L24" s="47" t="str">
        <f aca="false">IF($D24="","",IF(AND($F24&lt;&gt;"",$E24=""),"сначала уровень 2! ","")&amp;IF(AND($F24&lt;&gt;"",$E24&lt;&gt;"",N($F24)&lt;=N($E24)),"ур. 3 — в более позднем цикле, чем ур. 2! ","")&amp;IF(OR(AND($E24&lt;&gt;"",COUNTIFS($A$5:$A$76,$A24,$E$5:$E$76,$E24)+COUNTIFS($A$5:$A$76,$A24,$F$5:$F$76,$E24)&gt;1),AND($F24&lt;&gt;"",COUNTIFS($A$5:$A$76,$A24,$E$5:$E$76,$F24)+COUNTIFS($A$5:$A$76,$A24,$F$5:$F$76,$F24)&gt;1)),"больше 1 повышения в цикле у компании; ","")&amp;IF(AND($C24="",ИНФА!$F$5&gt;1),"карточка не используется",""))</f>
        <v/>
      </c>
      <c r="N24" s="44"/>
      <c r="O24" s="44"/>
      <c r="P24" s="44"/>
      <c r="Q24" s="37" t="str">
        <f aca="false">IF(OR($O24="",$P24=""),"",MAX(1,SUMIFS($G$5:$G$76,$A$5:$A$76,$O24,$D$5:$D$76,$P24)))</f>
        <v/>
      </c>
      <c r="R24" s="37" t="str">
        <f aca="false">IF($P24="","",INDEX(ПРОФЕССИИ!$E$5:$E$39,MATCH($P24,ПРОФЕССИИ!$A$5:$A$39,0)))</f>
        <v/>
      </c>
      <c r="S24" s="38" t="str">
        <f aca="false">IF(OR($P24="",$Q24=""),"",INDEX(ПРОФЕССИИ!$F$5:$H$39,MATCH($P24,ПРОФЕССИИ!$A$5:$A$39,0),$Q24))</f>
        <v/>
      </c>
      <c r="T24" s="44"/>
      <c r="U24" s="44"/>
      <c r="V24" s="47" t="str">
        <f aca="false">IF($O24="","",IF(COUNTIFS($N$5:$N$124,$N24,$O$5:$O$124,$O24,$P$5:$P$124,$P24)&gt;1,"повтор в этом цикле!","")&amp;IF(COUNTIFS($A$5:$A$76,$O24,$D$5:$D$76,$P24)=0," такой профессии нет у компании (найм?)",""))</f>
        <v/>
      </c>
      <c r="X24" s="44"/>
      <c r="Y24" s="44"/>
      <c r="Z24" s="44"/>
      <c r="AA24" s="44"/>
      <c r="AB24" s="43"/>
      <c r="AC24" s="44"/>
      <c r="AD24" s="47" t="str">
        <f aca="false">IF($Y24="","",IF(AND($AB24&lt;&gt;"",OR($AB24&lt;ИНФА!$F$34,$AB24&gt;ИНФА!$F$35)),"цена вне 1 000–3 000; ","")&amp;IF(COUNTIFS($X$5:$X$64,$X24,$Y$5:$Y$64,$Y24,$Z$5:$Z$64,$Z24)&gt;1,"специалист — один заказ за цикл; ","")&amp;IF($Y24=$AA24,"продавец и покупатель совпадают",""))</f>
        <v/>
      </c>
    </row>
    <row r="25" customFormat="false" ht="15" hidden="false" customHeight="false" outlineLevel="0" collapsed="false">
      <c r="A25" s="36" t="str">
        <f aca="false">ИНФА!$B$8</f>
        <v>Горизонт</v>
      </c>
      <c r="B25" s="37" t="n">
        <v>3</v>
      </c>
      <c r="C25" s="44"/>
      <c r="D25" s="44" t="s">
        <v>339</v>
      </c>
      <c r="E25" s="44"/>
      <c r="F25" s="44"/>
      <c r="G25" s="36" t="n">
        <f aca="false">IF($D25="","",1+($E25&lt;&gt;"")+($F25&lt;&gt;""))</f>
        <v>1</v>
      </c>
      <c r="H25" s="38" t="n">
        <f aca="false">IF($D25="","",INDEX(ПРОФЕССИИ!$F$5:$H$39,MATCH($D25,ПРОФЕССИИ!$A$5:$A$39,0),$G25))</f>
        <v>500</v>
      </c>
      <c r="I25" s="37" t="str">
        <f aca="false">IF($D25="","",INDEX(ПРОФЕССИИ!$E$5:$E$39,MATCH($D25,ПРОФЕССИИ!$A$5:$A$39,0)))</f>
        <v>Скидка</v>
      </c>
      <c r="J25" s="37" t="str">
        <f aca="false">IF($D25="","",INDEX(ПРОФЕССИИ!$J$5:$J$39,MATCH($D25,ПРОФЕССИИ!$A$5:$A$39,0)))</f>
        <v>Инфраструктура</v>
      </c>
      <c r="K25" s="38" t="n">
        <f aca="false">IF($D25="","",($E25&lt;&gt;"")*ИНФА!$F$27+($F25&lt;&gt;"")*ИНФА!$F$28)</f>
        <v>0</v>
      </c>
      <c r="L25" s="47" t="str">
        <f aca="false">IF($D25="","",IF(AND($F25&lt;&gt;"",$E25=""),"сначала уровень 2! ","")&amp;IF(AND($F25&lt;&gt;"",$E25&lt;&gt;"",N($F25)&lt;=N($E25)),"ур. 3 — в более позднем цикле, чем ур. 2! ","")&amp;IF(OR(AND($E25&lt;&gt;"",COUNTIFS($A$5:$A$76,$A25,$E$5:$E$76,$E25)+COUNTIFS($A$5:$A$76,$A25,$F$5:$F$76,$E25)&gt;1),AND($F25&lt;&gt;"",COUNTIFS($A$5:$A$76,$A25,$E$5:$E$76,$F25)+COUNTIFS($A$5:$A$76,$A25,$F$5:$F$76,$F25)&gt;1)),"больше 1 повышения в цикле у компании; ","")&amp;IF(AND($C25="",ИНФА!$F$5&gt;1),"карточка не используется",""))</f>
        <v/>
      </c>
      <c r="N25" s="44"/>
      <c r="O25" s="44"/>
      <c r="P25" s="44"/>
      <c r="Q25" s="37" t="str">
        <f aca="false">IF(OR($O25="",$P25=""),"",MAX(1,SUMIFS($G$5:$G$76,$A$5:$A$76,$O25,$D$5:$D$76,$P25)))</f>
        <v/>
      </c>
      <c r="R25" s="37" t="str">
        <f aca="false">IF($P25="","",INDEX(ПРОФЕССИИ!$E$5:$E$39,MATCH($P25,ПРОФЕССИИ!$A$5:$A$39,0)))</f>
        <v/>
      </c>
      <c r="S25" s="38" t="str">
        <f aca="false">IF(OR($P25="",$Q25=""),"",INDEX(ПРОФЕССИИ!$F$5:$H$39,MATCH($P25,ПРОФЕССИИ!$A$5:$A$39,0),$Q25))</f>
        <v/>
      </c>
      <c r="T25" s="44"/>
      <c r="U25" s="44"/>
      <c r="V25" s="47" t="str">
        <f aca="false">IF($O25="","",IF(COUNTIFS($N$5:$N$124,$N25,$O$5:$O$124,$O25,$P$5:$P$124,$P25)&gt;1,"повтор в этом цикле!","")&amp;IF(COUNTIFS($A$5:$A$76,$O25,$D$5:$D$76,$P25)=0," такой профессии нет у компании (найм?)",""))</f>
        <v/>
      </c>
      <c r="X25" s="44"/>
      <c r="Y25" s="44"/>
      <c r="Z25" s="44"/>
      <c r="AA25" s="44"/>
      <c r="AB25" s="43"/>
      <c r="AC25" s="44"/>
      <c r="AD25" s="47" t="str">
        <f aca="false">IF($Y25="","",IF(AND($AB25&lt;&gt;"",OR($AB25&lt;ИНФА!$F$34,$AB25&gt;ИНФА!$F$35)),"цена вне 1 000–3 000; ","")&amp;IF(COUNTIFS($X$5:$X$64,$X25,$Y$5:$Y$64,$Y25,$Z$5:$Z$64,$Z25)&gt;1,"специалист — один заказ за цикл; ","")&amp;IF($Y25=$AA25,"продавец и покупатель совпадают",""))</f>
        <v/>
      </c>
    </row>
    <row r="26" customFormat="false" ht="15" hidden="false" customHeight="false" outlineLevel="0" collapsed="false">
      <c r="A26" s="36" t="str">
        <f aca="false">ИНФА!$B$8</f>
        <v>Горизонт</v>
      </c>
      <c r="B26" s="37" t="n">
        <v>4</v>
      </c>
      <c r="C26" s="44"/>
      <c r="D26" s="44" t="s">
        <v>340</v>
      </c>
      <c r="E26" s="44"/>
      <c r="F26" s="44"/>
      <c r="G26" s="36" t="n">
        <f aca="false">IF($D26="","",1+($E26&lt;&gt;"")+($F26&lt;&gt;""))</f>
        <v>1</v>
      </c>
      <c r="H26" s="38" t="n">
        <f aca="false">IF($D26="","",INDEX(ПРОФЕССИИ!$F$5:$H$39,MATCH($D26,ПРОФЕССИИ!$A$5:$A$39,0),$G26))</f>
        <v>500</v>
      </c>
      <c r="I26" s="37" t="str">
        <f aca="false">IF($D26="","",INDEX(ПРОФЕССИИ!$E$5:$E$39,MATCH($D26,ПРОФЕССИИ!$A$5:$A$39,0)))</f>
        <v>Доход</v>
      </c>
      <c r="J26" s="37" t="str">
        <f aca="false">IF($D26="","",INDEX(ПРОФЕССИИ!$J$5:$J$39,MATCH($D26,ПРОФЕССИИ!$A$5:$A$39,0)))</f>
        <v>Банк (при выплате)</v>
      </c>
      <c r="K26" s="38" t="n">
        <f aca="false">IF($D26="","",($E26&lt;&gt;"")*ИНФА!$F$27+($F26&lt;&gt;"")*ИНФА!$F$28)</f>
        <v>0</v>
      </c>
      <c r="L26" s="47" t="str">
        <f aca="false">IF($D26="","",IF(AND($F26&lt;&gt;"",$E26=""),"сначала уровень 2! ","")&amp;IF(AND($F26&lt;&gt;"",$E26&lt;&gt;"",N($F26)&lt;=N($E26)),"ур. 3 — в более позднем цикле, чем ур. 2! ","")&amp;IF(OR(AND($E26&lt;&gt;"",COUNTIFS($A$5:$A$76,$A26,$E$5:$E$76,$E26)+COUNTIFS($A$5:$A$76,$A26,$F$5:$F$76,$E26)&gt;1),AND($F26&lt;&gt;"",COUNTIFS($A$5:$A$76,$A26,$E$5:$E$76,$F26)+COUNTIFS($A$5:$A$76,$A26,$F$5:$F$76,$F26)&gt;1)),"больше 1 повышения в цикле у компании; ","")&amp;IF(AND($C26="",ИНФА!$F$5&gt;1),"карточка не используется",""))</f>
        <v/>
      </c>
      <c r="N26" s="44"/>
      <c r="O26" s="44"/>
      <c r="P26" s="44"/>
      <c r="Q26" s="37" t="str">
        <f aca="false">IF(OR($O26="",$P26=""),"",MAX(1,SUMIFS($G$5:$G$76,$A$5:$A$76,$O26,$D$5:$D$76,$P26)))</f>
        <v/>
      </c>
      <c r="R26" s="37" t="str">
        <f aca="false">IF($P26="","",INDEX(ПРОФЕССИИ!$E$5:$E$39,MATCH($P26,ПРОФЕССИИ!$A$5:$A$39,0)))</f>
        <v/>
      </c>
      <c r="S26" s="38" t="str">
        <f aca="false">IF(OR($P26="",$Q26=""),"",INDEX(ПРОФЕССИИ!$F$5:$H$39,MATCH($P26,ПРОФЕССИИ!$A$5:$A$39,0),$Q26))</f>
        <v/>
      </c>
      <c r="T26" s="44"/>
      <c r="U26" s="44"/>
      <c r="V26" s="47" t="str">
        <f aca="false">IF($O26="","",IF(COUNTIFS($N$5:$N$124,$N26,$O$5:$O$124,$O26,$P$5:$P$124,$P26)&gt;1,"повтор в этом цикле!","")&amp;IF(COUNTIFS($A$5:$A$76,$O26,$D$5:$D$76,$P26)=0," такой профессии нет у компании (найм?)",""))</f>
        <v/>
      </c>
      <c r="X26" s="44"/>
      <c r="Y26" s="44"/>
      <c r="Z26" s="44"/>
      <c r="AA26" s="44"/>
      <c r="AB26" s="43"/>
      <c r="AC26" s="44"/>
      <c r="AD26" s="47" t="str">
        <f aca="false">IF($Y26="","",IF(AND($AB26&lt;&gt;"",OR($AB26&lt;ИНФА!$F$34,$AB26&gt;ИНФА!$F$35)),"цена вне 1 000–3 000; ","")&amp;IF(COUNTIFS($X$5:$X$64,$X26,$Y$5:$Y$64,$Y26,$Z$5:$Z$64,$Z26)&gt;1,"специалист — один заказ за цикл; ","")&amp;IF($Y26=$AA26,"продавец и покупатель совпадают",""))</f>
        <v/>
      </c>
    </row>
    <row r="27" customFormat="false" ht="15" hidden="false" customHeight="false" outlineLevel="0" collapsed="false">
      <c r="A27" s="36" t="str">
        <f aca="false">ИНФА!$B$8</f>
        <v>Горизонт</v>
      </c>
      <c r="B27" s="37" t="n">
        <v>5</v>
      </c>
      <c r="C27" s="44"/>
      <c r="D27" s="44" t="s">
        <v>341</v>
      </c>
      <c r="E27" s="44"/>
      <c r="F27" s="44"/>
      <c r="G27" s="36" t="n">
        <f aca="false">IF($D27="","",1+($E27&lt;&gt;"")+($F27&lt;&gt;""))</f>
        <v>1</v>
      </c>
      <c r="H27" s="38" t="n">
        <f aca="false">IF($D27="","",INDEX(ПРОФЕССИИ!$F$5:$H$39,MATCH($D27,ПРОФЕССИИ!$A$5:$A$39,0),$G27))</f>
        <v>500</v>
      </c>
      <c r="I27" s="37" t="str">
        <f aca="false">IF($D27="","",INDEX(ПРОФЕССИИ!$E$5:$E$39,MATCH($D27,ПРОФЕССИИ!$A$5:$A$39,0)))</f>
        <v>Проект</v>
      </c>
      <c r="J27" s="37" t="str">
        <f aca="false">IF($D27="","",INDEX(ПРОФЕССИИ!$J$5:$J$39,MATCH($D27,ПРОФЕССИИ!$A$5:$A$39,0)))</f>
        <v>Гражданские сервисы</v>
      </c>
      <c r="K27" s="38" t="n">
        <f aca="false">IF($D27="","",($E27&lt;&gt;"")*ИНФА!$F$27+($F27&lt;&gt;"")*ИНФА!$F$28)</f>
        <v>0</v>
      </c>
      <c r="L27" s="47" t="str">
        <f aca="false">IF($D27="","",IF(AND($F27&lt;&gt;"",$E27=""),"сначала уровень 2! ","")&amp;IF(AND($F27&lt;&gt;"",$E27&lt;&gt;"",N($F27)&lt;=N($E27)),"ур. 3 — в более позднем цикле, чем ур. 2! ","")&amp;IF(OR(AND($E27&lt;&gt;"",COUNTIFS($A$5:$A$76,$A27,$E$5:$E$76,$E27)+COUNTIFS($A$5:$A$76,$A27,$F$5:$F$76,$E27)&gt;1),AND($F27&lt;&gt;"",COUNTIFS($A$5:$A$76,$A27,$E$5:$E$76,$F27)+COUNTIFS($A$5:$A$76,$A27,$F$5:$F$76,$F27)&gt;1)),"больше 1 повышения в цикле у компании; ","")&amp;IF(AND($C27="",ИНФА!$F$5&gt;1),"карточка не используется",""))</f>
        <v/>
      </c>
      <c r="N27" s="44"/>
      <c r="O27" s="44"/>
      <c r="P27" s="44"/>
      <c r="Q27" s="37" t="str">
        <f aca="false">IF(OR($O27="",$P27=""),"",MAX(1,SUMIFS($G$5:$G$76,$A$5:$A$76,$O27,$D$5:$D$76,$P27)))</f>
        <v/>
      </c>
      <c r="R27" s="37" t="str">
        <f aca="false">IF($P27="","",INDEX(ПРОФЕССИИ!$E$5:$E$39,MATCH($P27,ПРОФЕССИИ!$A$5:$A$39,0)))</f>
        <v/>
      </c>
      <c r="S27" s="38" t="str">
        <f aca="false">IF(OR($P27="",$Q27=""),"",INDEX(ПРОФЕССИИ!$F$5:$H$39,MATCH($P27,ПРОФЕССИИ!$A$5:$A$39,0),$Q27))</f>
        <v/>
      </c>
      <c r="T27" s="44"/>
      <c r="U27" s="44"/>
      <c r="V27" s="47" t="str">
        <f aca="false">IF($O27="","",IF(COUNTIFS($N$5:$N$124,$N27,$O$5:$O$124,$O27,$P$5:$P$124,$P27)&gt;1,"повтор в этом цикле!","")&amp;IF(COUNTIFS($A$5:$A$76,$O27,$D$5:$D$76,$P27)=0," такой профессии нет у компании (найм?)",""))</f>
        <v/>
      </c>
      <c r="X27" s="44"/>
      <c r="Y27" s="44"/>
      <c r="Z27" s="44"/>
      <c r="AA27" s="44"/>
      <c r="AB27" s="43"/>
      <c r="AC27" s="44"/>
      <c r="AD27" s="47" t="str">
        <f aca="false">IF($Y27="","",IF(AND($AB27&lt;&gt;"",OR($AB27&lt;ИНФА!$F$34,$AB27&gt;ИНФА!$F$35)),"цена вне 1 000–3 000; ","")&amp;IF(COUNTIFS($X$5:$X$64,$X27,$Y$5:$Y$64,$Y27,$Z$5:$Z$64,$Z27)&gt;1,"специалист — один заказ за цикл; ","")&amp;IF($Y27=$AA27,"продавец и покупатель совпадают",""))</f>
        <v/>
      </c>
    </row>
    <row r="28" customFormat="false" ht="15" hidden="false" customHeight="false" outlineLevel="0" collapsed="false">
      <c r="A28" s="36" t="str">
        <f aca="false">ИНФА!$B$8</f>
        <v>Горизонт</v>
      </c>
      <c r="B28" s="37" t="n">
        <v>6</v>
      </c>
      <c r="C28" s="44"/>
      <c r="D28" s="44" t="s">
        <v>342</v>
      </c>
      <c r="E28" s="44"/>
      <c r="F28" s="44"/>
      <c r="G28" s="36" t="n">
        <f aca="false">IF($D28="","",1+($E28&lt;&gt;"")+($F28&lt;&gt;""))</f>
        <v>1</v>
      </c>
      <c r="H28" s="38" t="n">
        <f aca="false">IF($D28="","",INDEX(ПРОФЕССИИ!$F$5:$H$39,MATCH($D28,ПРОФЕССИИ!$A$5:$A$39,0),$G28))</f>
        <v>500</v>
      </c>
      <c r="I28" s="37" t="str">
        <f aca="false">IF($D28="","",INDEX(ПРОФЕССИИ!$E$5:$E$39,MATCH($D28,ПРОФЕССИИ!$A$5:$A$39,0)))</f>
        <v>Штраф</v>
      </c>
      <c r="J28" s="37" t="str">
        <f aca="false">IF($D28="","",INDEX(ПРОФЕССИИ!$J$5:$J$39,MATCH($D28,ПРОФЕССИИ!$A$5:$A$39,0)))</f>
        <v>Гражданские сервисы</v>
      </c>
      <c r="K28" s="38" t="n">
        <f aca="false">IF($D28="","",($E28&lt;&gt;"")*ИНФА!$F$27+($F28&lt;&gt;"")*ИНФА!$F$28)</f>
        <v>0</v>
      </c>
      <c r="L28" s="47" t="str">
        <f aca="false">IF($D28="","",IF(AND($F28&lt;&gt;"",$E28=""),"сначала уровень 2! ","")&amp;IF(AND($F28&lt;&gt;"",$E28&lt;&gt;"",N($F28)&lt;=N($E28)),"ур. 3 — в более позднем цикле, чем ур. 2! ","")&amp;IF(OR(AND($E28&lt;&gt;"",COUNTIFS($A$5:$A$76,$A28,$E$5:$E$76,$E28)+COUNTIFS($A$5:$A$76,$A28,$F$5:$F$76,$E28)&gt;1),AND($F28&lt;&gt;"",COUNTIFS($A$5:$A$76,$A28,$E$5:$E$76,$F28)+COUNTIFS($A$5:$A$76,$A28,$F$5:$F$76,$F28)&gt;1)),"больше 1 повышения в цикле у компании; ","")&amp;IF(AND($C28="",ИНФА!$F$5&gt;1),"карточка не используется",""))</f>
        <v/>
      </c>
      <c r="N28" s="44"/>
      <c r="O28" s="44"/>
      <c r="P28" s="44"/>
      <c r="Q28" s="37" t="str">
        <f aca="false">IF(OR($O28="",$P28=""),"",MAX(1,SUMIFS($G$5:$G$76,$A$5:$A$76,$O28,$D$5:$D$76,$P28)))</f>
        <v/>
      </c>
      <c r="R28" s="37" t="str">
        <f aca="false">IF($P28="","",INDEX(ПРОФЕССИИ!$E$5:$E$39,MATCH($P28,ПРОФЕССИИ!$A$5:$A$39,0)))</f>
        <v/>
      </c>
      <c r="S28" s="38" t="str">
        <f aca="false">IF(OR($P28="",$Q28=""),"",INDEX(ПРОФЕССИИ!$F$5:$H$39,MATCH($P28,ПРОФЕССИИ!$A$5:$A$39,0),$Q28))</f>
        <v/>
      </c>
      <c r="T28" s="44"/>
      <c r="U28" s="44"/>
      <c r="V28" s="47" t="str">
        <f aca="false">IF($O28="","",IF(COUNTIFS($N$5:$N$124,$N28,$O$5:$O$124,$O28,$P$5:$P$124,$P28)&gt;1,"повтор в этом цикле!","")&amp;IF(COUNTIFS($A$5:$A$76,$O28,$D$5:$D$76,$P28)=0," такой профессии нет у компании (найм?)",""))</f>
        <v/>
      </c>
      <c r="X28" s="44"/>
      <c r="Y28" s="44"/>
      <c r="Z28" s="44"/>
      <c r="AA28" s="44"/>
      <c r="AB28" s="43"/>
      <c r="AC28" s="44"/>
      <c r="AD28" s="47" t="str">
        <f aca="false">IF($Y28="","",IF(AND($AB28&lt;&gt;"",OR($AB28&lt;ИНФА!$F$34,$AB28&gt;ИНФА!$F$35)),"цена вне 1 000–3 000; ","")&amp;IF(COUNTIFS($X$5:$X$64,$X28,$Y$5:$Y$64,$Y28,$Z$5:$Z$64,$Z28)&gt;1,"специалист — один заказ за цикл; ","")&amp;IF($Y28=$AA28,"продавец и покупатель совпадают",""))</f>
        <v/>
      </c>
    </row>
    <row r="29" customFormat="false" ht="15" hidden="false" customHeight="false" outlineLevel="0" collapsed="false">
      <c r="A29" s="36" t="str">
        <f aca="false">ИНФА!$B$9</f>
        <v>Вектор</v>
      </c>
      <c r="B29" s="37" t="n">
        <v>1</v>
      </c>
      <c r="C29" s="44"/>
      <c r="D29" s="44" t="s">
        <v>343</v>
      </c>
      <c r="E29" s="44"/>
      <c r="F29" s="44"/>
      <c r="G29" s="36" t="n">
        <f aca="false">IF($D29="","",1+($E29&lt;&gt;"")+($F29&lt;&gt;""))</f>
        <v>1</v>
      </c>
      <c r="H29" s="38" t="n">
        <f aca="false">IF($D29="","",INDEX(ПРОФЕССИИ!$F$5:$H$39,MATCH($D29,ПРОФЕССИИ!$A$5:$A$39,0),$G29))</f>
        <v>500</v>
      </c>
      <c r="I29" s="37" t="str">
        <f aca="false">IF($D29="","",INDEX(ПРОФЕССИИ!$E$5:$E$39,MATCH($D29,ПРОФЕССИИ!$A$5:$A$39,0)))</f>
        <v>Доход</v>
      </c>
      <c r="J29" s="37" t="str">
        <f aca="false">IF($D29="","",INDEX(ПРОФЕССИИ!$J$5:$J$39,MATCH($D29,ПРОФЕССИИ!$A$5:$A$39,0)))</f>
        <v>Банк (при выплате)</v>
      </c>
      <c r="K29" s="38" t="n">
        <f aca="false">IF($D29="","",($E29&lt;&gt;"")*ИНФА!$F$27+($F29&lt;&gt;"")*ИНФА!$F$28)</f>
        <v>0</v>
      </c>
      <c r="L29" s="47" t="str">
        <f aca="false">IF($D29="","",IF(AND($F29&lt;&gt;"",$E29=""),"сначала уровень 2! ","")&amp;IF(AND($F29&lt;&gt;"",$E29&lt;&gt;"",N($F29)&lt;=N($E29)),"ур. 3 — в более позднем цикле, чем ур. 2! ","")&amp;IF(OR(AND($E29&lt;&gt;"",COUNTIFS($A$5:$A$76,$A29,$E$5:$E$76,$E29)+COUNTIFS($A$5:$A$76,$A29,$F$5:$F$76,$E29)&gt;1),AND($F29&lt;&gt;"",COUNTIFS($A$5:$A$76,$A29,$E$5:$E$76,$F29)+COUNTIFS($A$5:$A$76,$A29,$F$5:$F$76,$F29)&gt;1)),"больше 1 повышения в цикле у компании; ","")&amp;IF(AND($C29="",ИНФА!$F$5&gt;1),"карточка не используется",""))</f>
        <v/>
      </c>
      <c r="N29" s="44"/>
      <c r="O29" s="44"/>
      <c r="P29" s="44"/>
      <c r="Q29" s="37" t="str">
        <f aca="false">IF(OR($O29="",$P29=""),"",MAX(1,SUMIFS($G$5:$G$76,$A$5:$A$76,$O29,$D$5:$D$76,$P29)))</f>
        <v/>
      </c>
      <c r="R29" s="37" t="str">
        <f aca="false">IF($P29="","",INDEX(ПРОФЕССИИ!$E$5:$E$39,MATCH($P29,ПРОФЕССИИ!$A$5:$A$39,0)))</f>
        <v/>
      </c>
      <c r="S29" s="38" t="str">
        <f aca="false">IF(OR($P29="",$Q29=""),"",INDEX(ПРОФЕССИИ!$F$5:$H$39,MATCH($P29,ПРОФЕССИИ!$A$5:$A$39,0),$Q29))</f>
        <v/>
      </c>
      <c r="T29" s="44"/>
      <c r="U29" s="44"/>
      <c r="V29" s="47" t="str">
        <f aca="false">IF($O29="","",IF(COUNTIFS($N$5:$N$124,$N29,$O$5:$O$124,$O29,$P$5:$P$124,$P29)&gt;1,"повтор в этом цикле!","")&amp;IF(COUNTIFS($A$5:$A$76,$O29,$D$5:$D$76,$P29)=0," такой профессии нет у компании (найм?)",""))</f>
        <v/>
      </c>
      <c r="X29" s="44"/>
      <c r="Y29" s="44"/>
      <c r="Z29" s="44"/>
      <c r="AA29" s="44"/>
      <c r="AB29" s="43"/>
      <c r="AC29" s="44"/>
      <c r="AD29" s="47" t="str">
        <f aca="false">IF($Y29="","",IF(AND($AB29&lt;&gt;"",OR($AB29&lt;ИНФА!$F$34,$AB29&gt;ИНФА!$F$35)),"цена вне 1 000–3 000; ","")&amp;IF(COUNTIFS($X$5:$X$64,$X29,$Y$5:$Y$64,$Y29,$Z$5:$Z$64,$Z29)&gt;1,"специалист — один заказ за цикл; ","")&amp;IF($Y29=$AA29,"продавец и покупатель совпадают",""))</f>
        <v/>
      </c>
    </row>
    <row r="30" customFormat="false" ht="15" hidden="false" customHeight="false" outlineLevel="0" collapsed="false">
      <c r="A30" s="36" t="str">
        <f aca="false">ИНФА!$B$9</f>
        <v>Вектор</v>
      </c>
      <c r="B30" s="37" t="n">
        <v>2</v>
      </c>
      <c r="C30" s="44"/>
      <c r="D30" s="44" t="s">
        <v>344</v>
      </c>
      <c r="E30" s="44"/>
      <c r="F30" s="44"/>
      <c r="G30" s="36" t="n">
        <f aca="false">IF($D30="","",1+($E30&lt;&gt;"")+($F30&lt;&gt;""))</f>
        <v>1</v>
      </c>
      <c r="H30" s="38" t="n">
        <f aca="false">IF($D30="","",INDEX(ПРОФЕССИИ!$F$5:$H$39,MATCH($D30,ПРОФЕССИИ!$A$5:$A$39,0),$G30))</f>
        <v>500</v>
      </c>
      <c r="I30" s="37" t="str">
        <f aca="false">IF($D30="","",INDEX(ПРОФЕССИИ!$E$5:$E$39,MATCH($D30,ПРОФЕССИИ!$A$5:$A$39,0)))</f>
        <v>Кредит</v>
      </c>
      <c r="J30" s="37" t="str">
        <f aca="false">IF($D30="","",INDEX(ПРОФЕССИИ!$J$5:$J$39,MATCH($D30,ПРОФЕССИИ!$A$5:$A$39,0)))</f>
        <v>Банк</v>
      </c>
      <c r="K30" s="38" t="n">
        <f aca="false">IF($D30="","",($E30&lt;&gt;"")*ИНФА!$F$27+($F30&lt;&gt;"")*ИНФА!$F$28)</f>
        <v>0</v>
      </c>
      <c r="L30" s="47" t="str">
        <f aca="false">IF($D30="","",IF(AND($F30&lt;&gt;"",$E30=""),"сначала уровень 2! ","")&amp;IF(AND($F30&lt;&gt;"",$E30&lt;&gt;"",N($F30)&lt;=N($E30)),"ур. 3 — в более позднем цикле, чем ур. 2! ","")&amp;IF(OR(AND($E30&lt;&gt;"",COUNTIFS($A$5:$A$76,$A30,$E$5:$E$76,$E30)+COUNTIFS($A$5:$A$76,$A30,$F$5:$F$76,$E30)&gt;1),AND($F30&lt;&gt;"",COUNTIFS($A$5:$A$76,$A30,$E$5:$E$76,$F30)+COUNTIFS($A$5:$A$76,$A30,$F$5:$F$76,$F30)&gt;1)),"больше 1 повышения в цикле у компании; ","")&amp;IF(AND($C30="",ИНФА!$F$5&gt;1),"карточка не используется",""))</f>
        <v/>
      </c>
      <c r="N30" s="44"/>
      <c r="O30" s="44"/>
      <c r="P30" s="44"/>
      <c r="Q30" s="37" t="str">
        <f aca="false">IF(OR($O30="",$P30=""),"",MAX(1,SUMIFS($G$5:$G$76,$A$5:$A$76,$O30,$D$5:$D$76,$P30)))</f>
        <v/>
      </c>
      <c r="R30" s="37" t="str">
        <f aca="false">IF($P30="","",INDEX(ПРОФЕССИИ!$E$5:$E$39,MATCH($P30,ПРОФЕССИИ!$A$5:$A$39,0)))</f>
        <v/>
      </c>
      <c r="S30" s="38" t="str">
        <f aca="false">IF(OR($P30="",$Q30=""),"",INDEX(ПРОФЕССИИ!$F$5:$H$39,MATCH($P30,ПРОФЕССИИ!$A$5:$A$39,0),$Q30))</f>
        <v/>
      </c>
      <c r="T30" s="44"/>
      <c r="U30" s="44"/>
      <c r="V30" s="47" t="str">
        <f aca="false">IF($O30="","",IF(COUNTIFS($N$5:$N$124,$N30,$O$5:$O$124,$O30,$P$5:$P$124,$P30)&gt;1,"повтор в этом цикле!","")&amp;IF(COUNTIFS($A$5:$A$76,$O30,$D$5:$D$76,$P30)=0," такой профессии нет у компании (найм?)",""))</f>
        <v/>
      </c>
      <c r="X30" s="44"/>
      <c r="Y30" s="44"/>
      <c r="Z30" s="44"/>
      <c r="AA30" s="44"/>
      <c r="AB30" s="43"/>
      <c r="AC30" s="44"/>
      <c r="AD30" s="47" t="str">
        <f aca="false">IF($Y30="","",IF(AND($AB30&lt;&gt;"",OR($AB30&lt;ИНФА!$F$34,$AB30&gt;ИНФА!$F$35)),"цена вне 1 000–3 000; ","")&amp;IF(COUNTIFS($X$5:$X$64,$X30,$Y$5:$Y$64,$Y30,$Z$5:$Z$64,$Z30)&gt;1,"специалист — один заказ за цикл; ","")&amp;IF($Y30=$AA30,"продавец и покупатель совпадают",""))</f>
        <v/>
      </c>
    </row>
    <row r="31" customFormat="false" ht="15" hidden="false" customHeight="false" outlineLevel="0" collapsed="false">
      <c r="A31" s="36" t="str">
        <f aca="false">ИНФА!$B$9</f>
        <v>Вектор</v>
      </c>
      <c r="B31" s="37" t="n">
        <v>3</v>
      </c>
      <c r="C31" s="44"/>
      <c r="D31" s="44" t="s">
        <v>345</v>
      </c>
      <c r="E31" s="44"/>
      <c r="F31" s="44"/>
      <c r="G31" s="36" t="n">
        <f aca="false">IF($D31="","",1+($E31&lt;&gt;"")+($F31&lt;&gt;""))</f>
        <v>1</v>
      </c>
      <c r="H31" s="38" t="n">
        <f aca="false">IF($D31="","",INDEX(ПРОФЕССИИ!$F$5:$H$39,MATCH($D31,ПРОФЕССИИ!$A$5:$A$39,0),$G31))</f>
        <v>500</v>
      </c>
      <c r="I31" s="37" t="str">
        <f aca="false">IF($D31="","",INDEX(ПРОФЕССИИ!$E$5:$E$39,MATCH($D31,ПРОФЕССИИ!$A$5:$A$39,0)))</f>
        <v>Доход</v>
      </c>
      <c r="J31" s="37" t="str">
        <f aca="false">IF($D31="","",INDEX(ПРОФЕССИИ!$J$5:$J$39,MATCH($D31,ПРОФЕССИИ!$A$5:$A$39,0)))</f>
        <v>Банк (при выплате)</v>
      </c>
      <c r="K31" s="38" t="n">
        <f aca="false">IF($D31="","",($E31&lt;&gt;"")*ИНФА!$F$27+($F31&lt;&gt;"")*ИНФА!$F$28)</f>
        <v>0</v>
      </c>
      <c r="L31" s="47" t="str">
        <f aca="false">IF($D31="","",IF(AND($F31&lt;&gt;"",$E31=""),"сначала уровень 2! ","")&amp;IF(AND($F31&lt;&gt;"",$E31&lt;&gt;"",N($F31)&lt;=N($E31)),"ур. 3 — в более позднем цикле, чем ур. 2! ","")&amp;IF(OR(AND($E31&lt;&gt;"",COUNTIFS($A$5:$A$76,$A31,$E$5:$E$76,$E31)+COUNTIFS($A$5:$A$76,$A31,$F$5:$F$76,$E31)&gt;1),AND($F31&lt;&gt;"",COUNTIFS($A$5:$A$76,$A31,$E$5:$E$76,$F31)+COUNTIFS($A$5:$A$76,$A31,$F$5:$F$76,$F31)&gt;1)),"больше 1 повышения в цикле у компании; ","")&amp;IF(AND($C31="",ИНФА!$F$5&gt;1),"карточка не используется",""))</f>
        <v/>
      </c>
      <c r="N31" s="44"/>
      <c r="O31" s="44"/>
      <c r="P31" s="44"/>
      <c r="Q31" s="37" t="str">
        <f aca="false">IF(OR($O31="",$P31=""),"",MAX(1,SUMIFS($G$5:$G$76,$A$5:$A$76,$O31,$D$5:$D$76,$P31)))</f>
        <v/>
      </c>
      <c r="R31" s="37" t="str">
        <f aca="false">IF($P31="","",INDEX(ПРОФЕССИИ!$E$5:$E$39,MATCH($P31,ПРОФЕССИИ!$A$5:$A$39,0)))</f>
        <v/>
      </c>
      <c r="S31" s="38" t="str">
        <f aca="false">IF(OR($P31="",$Q31=""),"",INDEX(ПРОФЕССИИ!$F$5:$H$39,MATCH($P31,ПРОФЕССИИ!$A$5:$A$39,0),$Q31))</f>
        <v/>
      </c>
      <c r="T31" s="44"/>
      <c r="U31" s="44"/>
      <c r="V31" s="47" t="str">
        <f aca="false">IF($O31="","",IF(COUNTIFS($N$5:$N$124,$N31,$O$5:$O$124,$O31,$P$5:$P$124,$P31)&gt;1,"повтор в этом цикле!","")&amp;IF(COUNTIFS($A$5:$A$76,$O31,$D$5:$D$76,$P31)=0," такой профессии нет у компании (найм?)",""))</f>
        <v/>
      </c>
      <c r="X31" s="44"/>
      <c r="Y31" s="44"/>
      <c r="Z31" s="44"/>
      <c r="AA31" s="44"/>
      <c r="AB31" s="43"/>
      <c r="AC31" s="44"/>
      <c r="AD31" s="47" t="str">
        <f aca="false">IF($Y31="","",IF(AND($AB31&lt;&gt;"",OR($AB31&lt;ИНФА!$F$34,$AB31&gt;ИНФА!$F$35)),"цена вне 1 000–3 000; ","")&amp;IF(COUNTIFS($X$5:$X$64,$X31,$Y$5:$Y$64,$Y31,$Z$5:$Z$64,$Z31)&gt;1,"специалист — один заказ за цикл; ","")&amp;IF($Y31=$AA31,"продавец и покупатель совпадают",""))</f>
        <v/>
      </c>
    </row>
    <row r="32" customFormat="false" ht="15" hidden="false" customHeight="false" outlineLevel="0" collapsed="false">
      <c r="A32" s="36" t="str">
        <f aca="false">ИНФА!$B$9</f>
        <v>Вектор</v>
      </c>
      <c r="B32" s="37" t="n">
        <v>4</v>
      </c>
      <c r="C32" s="44"/>
      <c r="D32" s="44" t="s">
        <v>346</v>
      </c>
      <c r="E32" s="44"/>
      <c r="F32" s="44"/>
      <c r="G32" s="36" t="n">
        <f aca="false">IF($D32="","",1+($E32&lt;&gt;"")+($F32&lt;&gt;""))</f>
        <v>1</v>
      </c>
      <c r="H32" s="38" t="n">
        <f aca="false">IF($D32="","",INDEX(ПРОФЕССИИ!$F$5:$H$39,MATCH($D32,ПРОФЕССИИ!$A$5:$A$39,0),$G32))</f>
        <v>500</v>
      </c>
      <c r="I32" s="37" t="str">
        <f aca="false">IF($D32="","",INDEX(ПРОФЕССИИ!$E$5:$E$39,MATCH($D32,ПРОФЕССИИ!$A$5:$A$39,0)))</f>
        <v>Доход</v>
      </c>
      <c r="J32" s="37" t="str">
        <f aca="false">IF($D32="","",INDEX(ПРОФЕССИИ!$J$5:$J$39,MATCH($D32,ПРОФЕССИИ!$A$5:$A$39,0)))</f>
        <v>Банк (при выплате)</v>
      </c>
      <c r="K32" s="38" t="n">
        <f aca="false">IF($D32="","",($E32&lt;&gt;"")*ИНФА!$F$27+($F32&lt;&gt;"")*ИНФА!$F$28)</f>
        <v>0</v>
      </c>
      <c r="L32" s="47" t="str">
        <f aca="false">IF($D32="","",IF(AND($F32&lt;&gt;"",$E32=""),"сначала уровень 2! ","")&amp;IF(AND($F32&lt;&gt;"",$E32&lt;&gt;"",N($F32)&lt;=N($E32)),"ур. 3 — в более позднем цикле, чем ур. 2! ","")&amp;IF(OR(AND($E32&lt;&gt;"",COUNTIFS($A$5:$A$76,$A32,$E$5:$E$76,$E32)+COUNTIFS($A$5:$A$76,$A32,$F$5:$F$76,$E32)&gt;1),AND($F32&lt;&gt;"",COUNTIFS($A$5:$A$76,$A32,$E$5:$E$76,$F32)+COUNTIFS($A$5:$A$76,$A32,$F$5:$F$76,$F32)&gt;1)),"больше 1 повышения в цикле у компании; ","")&amp;IF(AND($C32="",ИНФА!$F$5&gt;1),"карточка не используется",""))</f>
        <v/>
      </c>
      <c r="N32" s="44"/>
      <c r="O32" s="44"/>
      <c r="P32" s="44"/>
      <c r="Q32" s="37" t="str">
        <f aca="false">IF(OR($O32="",$P32=""),"",MAX(1,SUMIFS($G$5:$G$76,$A$5:$A$76,$O32,$D$5:$D$76,$P32)))</f>
        <v/>
      </c>
      <c r="R32" s="37" t="str">
        <f aca="false">IF($P32="","",INDEX(ПРОФЕССИИ!$E$5:$E$39,MATCH($P32,ПРОФЕССИИ!$A$5:$A$39,0)))</f>
        <v/>
      </c>
      <c r="S32" s="38" t="str">
        <f aca="false">IF(OR($P32="",$Q32=""),"",INDEX(ПРОФЕССИИ!$F$5:$H$39,MATCH($P32,ПРОФЕССИИ!$A$5:$A$39,0),$Q32))</f>
        <v/>
      </c>
      <c r="T32" s="44"/>
      <c r="U32" s="44"/>
      <c r="V32" s="47" t="str">
        <f aca="false">IF($O32="","",IF(COUNTIFS($N$5:$N$124,$N32,$O$5:$O$124,$O32,$P$5:$P$124,$P32)&gt;1,"повтор в этом цикле!","")&amp;IF(COUNTIFS($A$5:$A$76,$O32,$D$5:$D$76,$P32)=0," такой профессии нет у компании (найм?)",""))</f>
        <v/>
      </c>
      <c r="X32" s="44"/>
      <c r="Y32" s="44"/>
      <c r="Z32" s="44"/>
      <c r="AA32" s="44"/>
      <c r="AB32" s="43"/>
      <c r="AC32" s="44"/>
      <c r="AD32" s="47" t="str">
        <f aca="false">IF($Y32="","",IF(AND($AB32&lt;&gt;"",OR($AB32&lt;ИНФА!$F$34,$AB32&gt;ИНФА!$F$35)),"цена вне 1 000–3 000; ","")&amp;IF(COUNTIFS($X$5:$X$64,$X32,$Y$5:$Y$64,$Y32,$Z$5:$Z$64,$Z32)&gt;1,"специалист — один заказ за цикл; ","")&amp;IF($Y32=$AA32,"продавец и покупатель совпадают",""))</f>
        <v/>
      </c>
    </row>
    <row r="33" customFormat="false" ht="15" hidden="false" customHeight="false" outlineLevel="0" collapsed="false">
      <c r="A33" s="36" t="str">
        <f aca="false">ИНФА!$B$9</f>
        <v>Вектор</v>
      </c>
      <c r="B33" s="37" t="n">
        <v>5</v>
      </c>
      <c r="C33" s="44"/>
      <c r="D33" s="44" t="s">
        <v>347</v>
      </c>
      <c r="E33" s="44"/>
      <c r="F33" s="44"/>
      <c r="G33" s="36" t="n">
        <f aca="false">IF($D33="","",1+($E33&lt;&gt;"")+($F33&lt;&gt;""))</f>
        <v>1</v>
      </c>
      <c r="H33" s="38" t="n">
        <f aca="false">IF($D33="","",INDEX(ПРОФЕССИИ!$F$5:$H$39,MATCH($D33,ПРОФЕССИИ!$A$5:$A$39,0),$G33))</f>
        <v>500</v>
      </c>
      <c r="I33" s="37" t="str">
        <f aca="false">IF($D33="","",INDEX(ПРОФЕССИИ!$E$5:$E$39,MATCH($D33,ПРОФЕССИИ!$A$5:$A$39,0)))</f>
        <v>Доход</v>
      </c>
      <c r="J33" s="37" t="str">
        <f aca="false">IF($D33="","",INDEX(ПРОФЕССИИ!$J$5:$J$39,MATCH($D33,ПРОФЕССИИ!$A$5:$A$39,0)))</f>
        <v>Банк (при выплате)</v>
      </c>
      <c r="K33" s="38" t="n">
        <f aca="false">IF($D33="","",($E33&lt;&gt;"")*ИНФА!$F$27+($F33&lt;&gt;"")*ИНФА!$F$28)</f>
        <v>0</v>
      </c>
      <c r="L33" s="47" t="str">
        <f aca="false">IF($D33="","",IF(AND($F33&lt;&gt;"",$E33=""),"сначала уровень 2! ","")&amp;IF(AND($F33&lt;&gt;"",$E33&lt;&gt;"",N($F33)&lt;=N($E33)),"ур. 3 — в более позднем цикле, чем ур. 2! ","")&amp;IF(OR(AND($E33&lt;&gt;"",COUNTIFS($A$5:$A$76,$A33,$E$5:$E$76,$E33)+COUNTIFS($A$5:$A$76,$A33,$F$5:$F$76,$E33)&gt;1),AND($F33&lt;&gt;"",COUNTIFS($A$5:$A$76,$A33,$E$5:$E$76,$F33)+COUNTIFS($A$5:$A$76,$A33,$F$5:$F$76,$F33)&gt;1)),"больше 1 повышения в цикле у компании; ","")&amp;IF(AND($C33="",ИНФА!$F$5&gt;1),"карточка не используется",""))</f>
        <v/>
      </c>
      <c r="N33" s="44"/>
      <c r="O33" s="44"/>
      <c r="P33" s="44"/>
      <c r="Q33" s="37" t="str">
        <f aca="false">IF(OR($O33="",$P33=""),"",MAX(1,SUMIFS($G$5:$G$76,$A$5:$A$76,$O33,$D$5:$D$76,$P33)))</f>
        <v/>
      </c>
      <c r="R33" s="37" t="str">
        <f aca="false">IF($P33="","",INDEX(ПРОФЕССИИ!$E$5:$E$39,MATCH($P33,ПРОФЕССИИ!$A$5:$A$39,0)))</f>
        <v/>
      </c>
      <c r="S33" s="38" t="str">
        <f aca="false">IF(OR($P33="",$Q33=""),"",INDEX(ПРОФЕССИИ!$F$5:$H$39,MATCH($P33,ПРОФЕССИИ!$A$5:$A$39,0),$Q33))</f>
        <v/>
      </c>
      <c r="T33" s="44"/>
      <c r="U33" s="44"/>
      <c r="V33" s="47" t="str">
        <f aca="false">IF($O33="","",IF(COUNTIFS($N$5:$N$124,$N33,$O$5:$O$124,$O33,$P$5:$P$124,$P33)&gt;1,"повтор в этом цикле!","")&amp;IF(COUNTIFS($A$5:$A$76,$O33,$D$5:$D$76,$P33)=0," такой профессии нет у компании (найм?)",""))</f>
        <v/>
      </c>
      <c r="X33" s="44"/>
      <c r="Y33" s="44"/>
      <c r="Z33" s="44"/>
      <c r="AA33" s="44"/>
      <c r="AB33" s="43"/>
      <c r="AC33" s="44"/>
      <c r="AD33" s="47" t="str">
        <f aca="false">IF($Y33="","",IF(AND($AB33&lt;&gt;"",OR($AB33&lt;ИНФА!$F$34,$AB33&gt;ИНФА!$F$35)),"цена вне 1 000–3 000; ","")&amp;IF(COUNTIFS($X$5:$X$64,$X33,$Y$5:$Y$64,$Y33,$Z$5:$Z$64,$Z33)&gt;1,"специалист — один заказ за цикл; ","")&amp;IF($Y33=$AA33,"продавец и покупатель совпадают",""))</f>
        <v/>
      </c>
    </row>
    <row r="34" customFormat="false" ht="15" hidden="false" customHeight="false" outlineLevel="0" collapsed="false">
      <c r="A34" s="36" t="str">
        <f aca="false">ИНФА!$B$9</f>
        <v>Вектор</v>
      </c>
      <c r="B34" s="37" t="n">
        <v>6</v>
      </c>
      <c r="C34" s="44"/>
      <c r="D34" s="44" t="s">
        <v>348</v>
      </c>
      <c r="E34" s="44"/>
      <c r="F34" s="44"/>
      <c r="G34" s="36" t="n">
        <f aca="false">IF($D34="","",1+($E34&lt;&gt;"")+($F34&lt;&gt;""))</f>
        <v>1</v>
      </c>
      <c r="H34" s="38" t="n">
        <f aca="false">IF($D34="","",INDEX(ПРОФЕССИИ!$F$5:$H$39,MATCH($D34,ПРОФЕССИИ!$A$5:$A$39,0),$G34))</f>
        <v>500</v>
      </c>
      <c r="I34" s="37" t="str">
        <f aca="false">IF($D34="","",INDEX(ПРОФЕССИИ!$E$5:$E$39,MATCH($D34,ПРОФЕССИИ!$A$5:$A$39,0)))</f>
        <v>Защита</v>
      </c>
      <c r="J34" s="37" t="str">
        <f aca="false">IF($D34="","",INDEX(ПРОФЕССИИ!$J$5:$J$39,MATCH($D34,ПРОФЕССИИ!$A$5:$A$39,0)))</f>
        <v>Банк (при событии)</v>
      </c>
      <c r="K34" s="38" t="n">
        <f aca="false">IF($D34="","",($E34&lt;&gt;"")*ИНФА!$F$27+($F34&lt;&gt;"")*ИНФА!$F$28)</f>
        <v>0</v>
      </c>
      <c r="L34" s="47" t="str">
        <f aca="false">IF($D34="","",IF(AND($F34&lt;&gt;"",$E34=""),"сначала уровень 2! ","")&amp;IF(AND($F34&lt;&gt;"",$E34&lt;&gt;"",N($F34)&lt;=N($E34)),"ур. 3 — в более позднем цикле, чем ур. 2! ","")&amp;IF(OR(AND($E34&lt;&gt;"",COUNTIFS($A$5:$A$76,$A34,$E$5:$E$76,$E34)+COUNTIFS($A$5:$A$76,$A34,$F$5:$F$76,$E34)&gt;1),AND($F34&lt;&gt;"",COUNTIFS($A$5:$A$76,$A34,$E$5:$E$76,$F34)+COUNTIFS($A$5:$A$76,$A34,$F$5:$F$76,$F34)&gt;1)),"больше 1 повышения в цикле у компании; ","")&amp;IF(AND($C34="",ИНФА!$F$5&gt;1),"карточка не используется",""))</f>
        <v/>
      </c>
      <c r="N34" s="44"/>
      <c r="O34" s="44"/>
      <c r="P34" s="44"/>
      <c r="Q34" s="37" t="str">
        <f aca="false">IF(OR($O34="",$P34=""),"",MAX(1,SUMIFS($G$5:$G$76,$A$5:$A$76,$O34,$D$5:$D$76,$P34)))</f>
        <v/>
      </c>
      <c r="R34" s="37" t="str">
        <f aca="false">IF($P34="","",INDEX(ПРОФЕССИИ!$E$5:$E$39,MATCH($P34,ПРОФЕССИИ!$A$5:$A$39,0)))</f>
        <v/>
      </c>
      <c r="S34" s="38" t="str">
        <f aca="false">IF(OR($P34="",$Q34=""),"",INDEX(ПРОФЕССИИ!$F$5:$H$39,MATCH($P34,ПРОФЕССИИ!$A$5:$A$39,0),$Q34))</f>
        <v/>
      </c>
      <c r="T34" s="44"/>
      <c r="U34" s="44"/>
      <c r="V34" s="47" t="str">
        <f aca="false">IF($O34="","",IF(COUNTIFS($N$5:$N$124,$N34,$O$5:$O$124,$O34,$P$5:$P$124,$P34)&gt;1,"повтор в этом цикле!","")&amp;IF(COUNTIFS($A$5:$A$76,$O34,$D$5:$D$76,$P34)=0," такой профессии нет у компании (найм?)",""))</f>
        <v/>
      </c>
      <c r="X34" s="44"/>
      <c r="Y34" s="44"/>
      <c r="Z34" s="44"/>
      <c r="AA34" s="44"/>
      <c r="AB34" s="43"/>
      <c r="AC34" s="44"/>
      <c r="AD34" s="47" t="str">
        <f aca="false">IF($Y34="","",IF(AND($AB34&lt;&gt;"",OR($AB34&lt;ИНФА!$F$34,$AB34&gt;ИНФА!$F$35)),"цена вне 1 000–3 000; ","")&amp;IF(COUNTIFS($X$5:$X$64,$X34,$Y$5:$Y$64,$Y34,$Z$5:$Z$64,$Z34)&gt;1,"специалист — один заказ за цикл; ","")&amp;IF($Y34=$AA34,"продавец и покупатель совпадают",""))</f>
        <v/>
      </c>
    </row>
    <row r="35" customFormat="false" ht="15" hidden="false" customHeight="false" outlineLevel="0" collapsed="false">
      <c r="A35" s="36" t="str">
        <f aca="false">ИНФА!$B$10</f>
        <v>Импульс</v>
      </c>
      <c r="B35" s="37" t="n">
        <v>1</v>
      </c>
      <c r="C35" s="44"/>
      <c r="D35" s="44" t="s">
        <v>349</v>
      </c>
      <c r="E35" s="44"/>
      <c r="F35" s="44"/>
      <c r="G35" s="36" t="n">
        <f aca="false">IF($D35="","",1+($E35&lt;&gt;"")+($F35&lt;&gt;""))</f>
        <v>1</v>
      </c>
      <c r="H35" s="38" t="n">
        <f aca="false">IF($D35="","",INDEX(ПРОФЕССИИ!$F$5:$H$39,MATCH($D35,ПРОФЕССИИ!$A$5:$A$39,0),$G35))</f>
        <v>500</v>
      </c>
      <c r="I35" s="37" t="str">
        <f aca="false">IF($D35="","",INDEX(ПРОФЕССИИ!$E$5:$E$39,MATCH($D35,ПРОФЕССИИ!$A$5:$A$39,0)))</f>
        <v>Доход</v>
      </c>
      <c r="J35" s="37" t="str">
        <f aca="false">IF($D35="","",INDEX(ПРОФЕССИИ!$J$5:$J$39,MATCH($D35,ПРОФЕССИИ!$A$5:$A$39,0)))</f>
        <v>Банк (при выплате)</v>
      </c>
      <c r="K35" s="38" t="n">
        <f aca="false">IF($D35="","",($E35&lt;&gt;"")*ИНФА!$F$27+($F35&lt;&gt;"")*ИНФА!$F$28)</f>
        <v>0</v>
      </c>
      <c r="L35" s="47" t="str">
        <f aca="false">IF($D35="","",IF(AND($F35&lt;&gt;"",$E35=""),"сначала уровень 2! ","")&amp;IF(AND($F35&lt;&gt;"",$E35&lt;&gt;"",N($F35)&lt;=N($E35)),"ур. 3 — в более позднем цикле, чем ур. 2! ","")&amp;IF(OR(AND($E35&lt;&gt;"",COUNTIFS($A$5:$A$76,$A35,$E$5:$E$76,$E35)+COUNTIFS($A$5:$A$76,$A35,$F$5:$F$76,$E35)&gt;1),AND($F35&lt;&gt;"",COUNTIFS($A$5:$A$76,$A35,$E$5:$E$76,$F35)+COUNTIFS($A$5:$A$76,$A35,$F$5:$F$76,$F35)&gt;1)),"больше 1 повышения в цикле у компании; ","")&amp;IF(AND($C35="",ИНФА!$F$5&gt;1),"карточка не используется",""))</f>
        <v/>
      </c>
      <c r="N35" s="44"/>
      <c r="O35" s="44"/>
      <c r="P35" s="44"/>
      <c r="Q35" s="37" t="str">
        <f aca="false">IF(OR($O35="",$P35=""),"",MAX(1,SUMIFS($G$5:$G$76,$A$5:$A$76,$O35,$D$5:$D$76,$P35)))</f>
        <v/>
      </c>
      <c r="R35" s="37" t="str">
        <f aca="false">IF($P35="","",INDEX(ПРОФЕССИИ!$E$5:$E$39,MATCH($P35,ПРОФЕССИИ!$A$5:$A$39,0)))</f>
        <v/>
      </c>
      <c r="S35" s="38" t="str">
        <f aca="false">IF(OR($P35="",$Q35=""),"",INDEX(ПРОФЕССИИ!$F$5:$H$39,MATCH($P35,ПРОФЕССИИ!$A$5:$A$39,0),$Q35))</f>
        <v/>
      </c>
      <c r="T35" s="44"/>
      <c r="U35" s="44"/>
      <c r="V35" s="47" t="str">
        <f aca="false">IF($O35="","",IF(COUNTIFS($N$5:$N$124,$N35,$O$5:$O$124,$O35,$P$5:$P$124,$P35)&gt;1,"повтор в этом цикле!","")&amp;IF(COUNTIFS($A$5:$A$76,$O35,$D$5:$D$76,$P35)=0," такой профессии нет у компании (найм?)",""))</f>
        <v/>
      </c>
      <c r="X35" s="44"/>
      <c r="Y35" s="44"/>
      <c r="Z35" s="44"/>
      <c r="AA35" s="44"/>
      <c r="AB35" s="43"/>
      <c r="AC35" s="44"/>
      <c r="AD35" s="47" t="str">
        <f aca="false">IF($Y35="","",IF(AND($AB35&lt;&gt;"",OR($AB35&lt;ИНФА!$F$34,$AB35&gt;ИНФА!$F$35)),"цена вне 1 000–3 000; ","")&amp;IF(COUNTIFS($X$5:$X$64,$X35,$Y$5:$Y$64,$Y35,$Z$5:$Z$64,$Z35)&gt;1,"специалист — один заказ за цикл; ","")&amp;IF($Y35=$AA35,"продавец и покупатель совпадают",""))</f>
        <v/>
      </c>
    </row>
    <row r="36" customFormat="false" ht="15" hidden="false" customHeight="false" outlineLevel="0" collapsed="false">
      <c r="A36" s="36" t="str">
        <f aca="false">ИНФА!$B$10</f>
        <v>Импульс</v>
      </c>
      <c r="B36" s="37" t="n">
        <v>2</v>
      </c>
      <c r="C36" s="44"/>
      <c r="D36" s="44" t="s">
        <v>350</v>
      </c>
      <c r="E36" s="44"/>
      <c r="F36" s="44"/>
      <c r="G36" s="36" t="n">
        <f aca="false">IF($D36="","",1+($E36&lt;&gt;"")+($F36&lt;&gt;""))</f>
        <v>1</v>
      </c>
      <c r="H36" s="38" t="n">
        <f aca="false">IF($D36="","",INDEX(ПРОФЕССИИ!$F$5:$H$39,MATCH($D36,ПРОФЕССИИ!$A$5:$A$39,0),$G36))</f>
        <v>1000</v>
      </c>
      <c r="I36" s="37" t="str">
        <f aca="false">IF($D36="","",INDEX(ПРОФЕССИИ!$E$5:$E$39,MATCH($D36,ПРОФЕССИИ!$A$5:$A$39,0)))</f>
        <v>Перенос долга</v>
      </c>
      <c r="J36" s="37" t="str">
        <f aca="false">IF($D36="","",INDEX(ПРОФЕССИИ!$J$5:$J$39,MATCH($D36,ПРОФЕССИИ!$A$5:$A$39,0)))</f>
        <v>Банк</v>
      </c>
      <c r="K36" s="38" t="n">
        <f aca="false">IF($D36="","",($E36&lt;&gt;"")*ИНФА!$F$27+($F36&lt;&gt;"")*ИНФА!$F$28)</f>
        <v>0</v>
      </c>
      <c r="L36" s="47" t="str">
        <f aca="false">IF($D36="","",IF(AND($F36&lt;&gt;"",$E36=""),"сначала уровень 2! ","")&amp;IF(AND($F36&lt;&gt;"",$E36&lt;&gt;"",N($F36)&lt;=N($E36)),"ур. 3 — в более позднем цикле, чем ур. 2! ","")&amp;IF(OR(AND($E36&lt;&gt;"",COUNTIFS($A$5:$A$76,$A36,$E$5:$E$76,$E36)+COUNTIFS($A$5:$A$76,$A36,$F$5:$F$76,$E36)&gt;1),AND($F36&lt;&gt;"",COUNTIFS($A$5:$A$76,$A36,$E$5:$E$76,$F36)+COUNTIFS($A$5:$A$76,$A36,$F$5:$F$76,$F36)&gt;1)),"больше 1 повышения в цикле у компании; ","")&amp;IF(AND($C36="",ИНФА!$F$5&gt;1),"карточка не используется",""))</f>
        <v/>
      </c>
      <c r="N36" s="44"/>
      <c r="O36" s="44"/>
      <c r="P36" s="44"/>
      <c r="Q36" s="37" t="str">
        <f aca="false">IF(OR($O36="",$P36=""),"",MAX(1,SUMIFS($G$5:$G$76,$A$5:$A$76,$O36,$D$5:$D$76,$P36)))</f>
        <v/>
      </c>
      <c r="R36" s="37" t="str">
        <f aca="false">IF($P36="","",INDEX(ПРОФЕССИИ!$E$5:$E$39,MATCH($P36,ПРОФЕССИИ!$A$5:$A$39,0)))</f>
        <v/>
      </c>
      <c r="S36" s="38" t="str">
        <f aca="false">IF(OR($P36="",$Q36=""),"",INDEX(ПРОФЕССИИ!$F$5:$H$39,MATCH($P36,ПРОФЕССИИ!$A$5:$A$39,0),$Q36))</f>
        <v/>
      </c>
      <c r="T36" s="44"/>
      <c r="U36" s="44"/>
      <c r="V36" s="47" t="str">
        <f aca="false">IF($O36="","",IF(COUNTIFS($N$5:$N$124,$N36,$O$5:$O$124,$O36,$P$5:$P$124,$P36)&gt;1,"повтор в этом цикле!","")&amp;IF(COUNTIFS($A$5:$A$76,$O36,$D$5:$D$76,$P36)=0," такой профессии нет у компании (найм?)",""))</f>
        <v/>
      </c>
      <c r="X36" s="44"/>
      <c r="Y36" s="44"/>
      <c r="Z36" s="44"/>
      <c r="AA36" s="44"/>
      <c r="AB36" s="43"/>
      <c r="AC36" s="44"/>
      <c r="AD36" s="47" t="str">
        <f aca="false">IF($Y36="","",IF(AND($AB36&lt;&gt;"",OR($AB36&lt;ИНФА!$F$34,$AB36&gt;ИНФА!$F$35)),"цена вне 1 000–3 000; ","")&amp;IF(COUNTIFS($X$5:$X$64,$X36,$Y$5:$Y$64,$Y36,$Z$5:$Z$64,$Z36)&gt;1,"специалист — один заказ за цикл; ","")&amp;IF($Y36=$AA36,"продавец и покупатель совпадают",""))</f>
        <v/>
      </c>
    </row>
    <row r="37" customFormat="false" ht="15" hidden="false" customHeight="false" outlineLevel="0" collapsed="false">
      <c r="A37" s="36" t="str">
        <f aca="false">ИНФА!$B$10</f>
        <v>Импульс</v>
      </c>
      <c r="B37" s="37" t="n">
        <v>3</v>
      </c>
      <c r="C37" s="44"/>
      <c r="D37" s="44" t="s">
        <v>351</v>
      </c>
      <c r="E37" s="44"/>
      <c r="F37" s="44"/>
      <c r="G37" s="36" t="n">
        <f aca="false">IF($D37="","",1+($E37&lt;&gt;"")+($F37&lt;&gt;""))</f>
        <v>1</v>
      </c>
      <c r="H37" s="38" t="n">
        <f aca="false">IF($D37="","",INDEX(ПРОФЕССИИ!$F$5:$H$39,MATCH($D37,ПРОФЕССИИ!$A$5:$A$39,0),$G37))</f>
        <v>500</v>
      </c>
      <c r="I37" s="37" t="str">
        <f aca="false">IF($D37="","",INDEX(ПРОФЕССИИ!$E$5:$E$39,MATCH($D37,ПРОФЕССИИ!$A$5:$A$39,0)))</f>
        <v>Доход</v>
      </c>
      <c r="J37" s="37" t="str">
        <f aca="false">IF($D37="","",INDEX(ПРОФЕССИИ!$J$5:$J$39,MATCH($D37,ПРОФЕССИИ!$A$5:$A$39,0)))</f>
        <v>Банк (при выплате)</v>
      </c>
      <c r="K37" s="38" t="n">
        <f aca="false">IF($D37="","",($E37&lt;&gt;"")*ИНФА!$F$27+($F37&lt;&gt;"")*ИНФА!$F$28)</f>
        <v>0</v>
      </c>
      <c r="L37" s="47" t="str">
        <f aca="false">IF($D37="","",IF(AND($F37&lt;&gt;"",$E37=""),"сначала уровень 2! ","")&amp;IF(AND($F37&lt;&gt;"",$E37&lt;&gt;"",N($F37)&lt;=N($E37)),"ур. 3 — в более позднем цикле, чем ур. 2! ","")&amp;IF(OR(AND($E37&lt;&gt;"",COUNTIFS($A$5:$A$76,$A37,$E$5:$E$76,$E37)+COUNTIFS($A$5:$A$76,$A37,$F$5:$F$76,$E37)&gt;1),AND($F37&lt;&gt;"",COUNTIFS($A$5:$A$76,$A37,$E$5:$E$76,$F37)+COUNTIFS($A$5:$A$76,$A37,$F$5:$F$76,$F37)&gt;1)),"больше 1 повышения в цикле у компании; ","")&amp;IF(AND($C37="",ИНФА!$F$5&gt;1),"карточка не используется",""))</f>
        <v/>
      </c>
      <c r="N37" s="44"/>
      <c r="O37" s="44"/>
      <c r="P37" s="44"/>
      <c r="Q37" s="37" t="str">
        <f aca="false">IF(OR($O37="",$P37=""),"",MAX(1,SUMIFS($G$5:$G$76,$A$5:$A$76,$O37,$D$5:$D$76,$P37)))</f>
        <v/>
      </c>
      <c r="R37" s="37" t="str">
        <f aca="false">IF($P37="","",INDEX(ПРОФЕССИИ!$E$5:$E$39,MATCH($P37,ПРОФЕССИИ!$A$5:$A$39,0)))</f>
        <v/>
      </c>
      <c r="S37" s="38" t="str">
        <f aca="false">IF(OR($P37="",$Q37=""),"",INDEX(ПРОФЕССИИ!$F$5:$H$39,MATCH($P37,ПРОФЕССИИ!$A$5:$A$39,0),$Q37))</f>
        <v/>
      </c>
      <c r="T37" s="44"/>
      <c r="U37" s="44"/>
      <c r="V37" s="47" t="str">
        <f aca="false">IF($O37="","",IF(COUNTIFS($N$5:$N$124,$N37,$O$5:$O$124,$O37,$P$5:$P$124,$P37)&gt;1,"повтор в этом цикле!","")&amp;IF(COUNTIFS($A$5:$A$76,$O37,$D$5:$D$76,$P37)=0," такой профессии нет у компании (найм?)",""))</f>
        <v/>
      </c>
      <c r="X37" s="44"/>
      <c r="Y37" s="44"/>
      <c r="Z37" s="44"/>
      <c r="AA37" s="44"/>
      <c r="AB37" s="43"/>
      <c r="AC37" s="44"/>
      <c r="AD37" s="47" t="str">
        <f aca="false">IF($Y37="","",IF(AND($AB37&lt;&gt;"",OR($AB37&lt;ИНФА!$F$34,$AB37&gt;ИНФА!$F$35)),"цена вне 1 000–3 000; ","")&amp;IF(COUNTIFS($X$5:$X$64,$X37,$Y$5:$Y$64,$Y37,$Z$5:$Z$64,$Z37)&gt;1,"специалист — один заказ за цикл; ","")&amp;IF($Y37=$AA37,"продавец и покупатель совпадают",""))</f>
        <v/>
      </c>
    </row>
    <row r="38" customFormat="false" ht="15" hidden="false" customHeight="false" outlineLevel="0" collapsed="false">
      <c r="A38" s="36" t="str">
        <f aca="false">ИНФА!$B$10</f>
        <v>Импульс</v>
      </c>
      <c r="B38" s="37" t="n">
        <v>4</v>
      </c>
      <c r="C38" s="44"/>
      <c r="D38" s="44" t="s">
        <v>352</v>
      </c>
      <c r="E38" s="44"/>
      <c r="F38" s="44"/>
      <c r="G38" s="36" t="n">
        <f aca="false">IF($D38="","",1+($E38&lt;&gt;"")+($F38&lt;&gt;""))</f>
        <v>1</v>
      </c>
      <c r="H38" s="38" t="n">
        <f aca="false">IF($D38="","",INDEX(ПРОФЕССИИ!$F$5:$H$39,MATCH($D38,ПРОФЕССИИ!$A$5:$A$39,0),$G38))</f>
        <v>500</v>
      </c>
      <c r="I38" s="37" t="str">
        <f aca="false">IF($D38="","",INDEX(ПРОФЕССИИ!$E$5:$E$39,MATCH($D38,ПРОФЕССИИ!$A$5:$A$39,0)))</f>
        <v>Доход</v>
      </c>
      <c r="J38" s="37" t="str">
        <f aca="false">IF($D38="","",INDEX(ПРОФЕССИИ!$J$5:$J$39,MATCH($D38,ПРОФЕССИИ!$A$5:$A$39,0)))</f>
        <v>Банк (при выплате)</v>
      </c>
      <c r="K38" s="38" t="n">
        <f aca="false">IF($D38="","",($E38&lt;&gt;"")*ИНФА!$F$27+($F38&lt;&gt;"")*ИНФА!$F$28)</f>
        <v>0</v>
      </c>
      <c r="L38" s="47" t="str">
        <f aca="false">IF($D38="","",IF(AND($F38&lt;&gt;"",$E38=""),"сначала уровень 2! ","")&amp;IF(AND($F38&lt;&gt;"",$E38&lt;&gt;"",N($F38)&lt;=N($E38)),"ур. 3 — в более позднем цикле, чем ур. 2! ","")&amp;IF(OR(AND($E38&lt;&gt;"",COUNTIFS($A$5:$A$76,$A38,$E$5:$E$76,$E38)+COUNTIFS($A$5:$A$76,$A38,$F$5:$F$76,$E38)&gt;1),AND($F38&lt;&gt;"",COUNTIFS($A$5:$A$76,$A38,$E$5:$E$76,$F38)+COUNTIFS($A$5:$A$76,$A38,$F$5:$F$76,$F38)&gt;1)),"больше 1 повышения в цикле у компании; ","")&amp;IF(AND($C38="",ИНФА!$F$5&gt;1),"карточка не используется",""))</f>
        <v/>
      </c>
      <c r="N38" s="44"/>
      <c r="O38" s="44"/>
      <c r="P38" s="44"/>
      <c r="Q38" s="37" t="str">
        <f aca="false">IF(OR($O38="",$P38=""),"",MAX(1,SUMIFS($G$5:$G$76,$A$5:$A$76,$O38,$D$5:$D$76,$P38)))</f>
        <v/>
      </c>
      <c r="R38" s="37" t="str">
        <f aca="false">IF($P38="","",INDEX(ПРОФЕССИИ!$E$5:$E$39,MATCH($P38,ПРОФЕССИИ!$A$5:$A$39,0)))</f>
        <v/>
      </c>
      <c r="S38" s="38" t="str">
        <f aca="false">IF(OR($P38="",$Q38=""),"",INDEX(ПРОФЕССИИ!$F$5:$H$39,MATCH($P38,ПРОФЕССИИ!$A$5:$A$39,0),$Q38))</f>
        <v/>
      </c>
      <c r="T38" s="44"/>
      <c r="U38" s="44"/>
      <c r="V38" s="47" t="str">
        <f aca="false">IF($O38="","",IF(COUNTIFS($N$5:$N$124,$N38,$O$5:$O$124,$O38,$P$5:$P$124,$P38)&gt;1,"повтор в этом цикле!","")&amp;IF(COUNTIFS($A$5:$A$76,$O38,$D$5:$D$76,$P38)=0," такой профессии нет у компании (найм?)",""))</f>
        <v/>
      </c>
      <c r="X38" s="44"/>
      <c r="Y38" s="44"/>
      <c r="Z38" s="44"/>
      <c r="AA38" s="44"/>
      <c r="AB38" s="43"/>
      <c r="AC38" s="44"/>
      <c r="AD38" s="47" t="str">
        <f aca="false">IF($Y38="","",IF(AND($AB38&lt;&gt;"",OR($AB38&lt;ИНФА!$F$34,$AB38&gt;ИНФА!$F$35)),"цена вне 1 000–3 000; ","")&amp;IF(COUNTIFS($X$5:$X$64,$X38,$Y$5:$Y$64,$Y38,$Z$5:$Z$64,$Z38)&gt;1,"специалист — один заказ за цикл; ","")&amp;IF($Y38=$AA38,"продавец и покупатель совпадают",""))</f>
        <v/>
      </c>
    </row>
    <row r="39" customFormat="false" ht="15" hidden="false" customHeight="false" outlineLevel="0" collapsed="false">
      <c r="A39" s="36" t="str">
        <f aca="false">ИНФА!$B$10</f>
        <v>Импульс</v>
      </c>
      <c r="B39" s="37" t="n">
        <v>5</v>
      </c>
      <c r="C39" s="44"/>
      <c r="D39" s="44" t="s">
        <v>353</v>
      </c>
      <c r="E39" s="44"/>
      <c r="F39" s="44"/>
      <c r="G39" s="36" t="n">
        <f aca="false">IF($D39="","",1+($E39&lt;&gt;"")+($F39&lt;&gt;""))</f>
        <v>1</v>
      </c>
      <c r="H39" s="38" t="n">
        <f aca="false">IF($D39="","",INDEX(ПРОФЕССИИ!$F$5:$H$39,MATCH($D39,ПРОФЕССИИ!$A$5:$A$39,0),$G39))</f>
        <v>500</v>
      </c>
      <c r="I39" s="37" t="str">
        <f aca="false">IF($D39="","",INDEX(ПРОФЕССИИ!$E$5:$E$39,MATCH($D39,ПРОФЕССИИ!$A$5:$A$39,0)))</f>
        <v>Проект</v>
      </c>
      <c r="J39" s="37" t="str">
        <f aca="false">IF($D39="","",INDEX(ПРОФЕССИИ!$J$5:$J$39,MATCH($D39,ПРОФЕССИИ!$A$5:$A$39,0)))</f>
        <v>Гражданские сервисы</v>
      </c>
      <c r="K39" s="38" t="n">
        <f aca="false">IF($D39="","",($E39&lt;&gt;"")*ИНФА!$F$27+($F39&lt;&gt;"")*ИНФА!$F$28)</f>
        <v>0</v>
      </c>
      <c r="L39" s="47" t="str">
        <f aca="false">IF($D39="","",IF(AND($F39&lt;&gt;"",$E39=""),"сначала уровень 2! ","")&amp;IF(AND($F39&lt;&gt;"",$E39&lt;&gt;"",N($F39)&lt;=N($E39)),"ур. 3 — в более позднем цикле, чем ур. 2! ","")&amp;IF(OR(AND($E39&lt;&gt;"",COUNTIFS($A$5:$A$76,$A39,$E$5:$E$76,$E39)+COUNTIFS($A$5:$A$76,$A39,$F$5:$F$76,$E39)&gt;1),AND($F39&lt;&gt;"",COUNTIFS($A$5:$A$76,$A39,$E$5:$E$76,$F39)+COUNTIFS($A$5:$A$76,$A39,$F$5:$F$76,$F39)&gt;1)),"больше 1 повышения в цикле у компании; ","")&amp;IF(AND($C39="",ИНФА!$F$5&gt;1),"карточка не используется",""))</f>
        <v/>
      </c>
      <c r="N39" s="44"/>
      <c r="O39" s="44"/>
      <c r="P39" s="44"/>
      <c r="Q39" s="37" t="str">
        <f aca="false">IF(OR($O39="",$P39=""),"",MAX(1,SUMIFS($G$5:$G$76,$A$5:$A$76,$O39,$D$5:$D$76,$P39)))</f>
        <v/>
      </c>
      <c r="R39" s="37" t="str">
        <f aca="false">IF($P39="","",INDEX(ПРОФЕССИИ!$E$5:$E$39,MATCH($P39,ПРОФЕССИИ!$A$5:$A$39,0)))</f>
        <v/>
      </c>
      <c r="S39" s="38" t="str">
        <f aca="false">IF(OR($P39="",$Q39=""),"",INDEX(ПРОФЕССИИ!$F$5:$H$39,MATCH($P39,ПРОФЕССИИ!$A$5:$A$39,0),$Q39))</f>
        <v/>
      </c>
      <c r="T39" s="44"/>
      <c r="U39" s="44"/>
      <c r="V39" s="47" t="str">
        <f aca="false">IF($O39="","",IF(COUNTIFS($N$5:$N$124,$N39,$O$5:$O$124,$O39,$P$5:$P$124,$P39)&gt;1,"повтор в этом цикле!","")&amp;IF(COUNTIFS($A$5:$A$76,$O39,$D$5:$D$76,$P39)=0," такой профессии нет у компании (найм?)",""))</f>
        <v/>
      </c>
      <c r="X39" s="44"/>
      <c r="Y39" s="44"/>
      <c r="Z39" s="44"/>
      <c r="AA39" s="44"/>
      <c r="AB39" s="43"/>
      <c r="AC39" s="44"/>
      <c r="AD39" s="47" t="str">
        <f aca="false">IF($Y39="","",IF(AND($AB39&lt;&gt;"",OR($AB39&lt;ИНФА!$F$34,$AB39&gt;ИНФА!$F$35)),"цена вне 1 000–3 000; ","")&amp;IF(COUNTIFS($X$5:$X$64,$X39,$Y$5:$Y$64,$Y39,$Z$5:$Z$64,$Z39)&gt;1,"специалист — один заказ за цикл; ","")&amp;IF($Y39=$AA39,"продавец и покупатель совпадают",""))</f>
        <v/>
      </c>
    </row>
    <row r="40" customFormat="false" ht="15" hidden="false" customHeight="false" outlineLevel="0" collapsed="false">
      <c r="A40" s="36" t="str">
        <f aca="false">ИНФА!$B$10</f>
        <v>Импульс</v>
      </c>
      <c r="B40" s="37" t="n">
        <v>6</v>
      </c>
      <c r="C40" s="44"/>
      <c r="D40" s="44" t="s">
        <v>320</v>
      </c>
      <c r="E40" s="44"/>
      <c r="F40" s="44"/>
      <c r="G40" s="36" t="n">
        <f aca="false">IF($D40="","",1+($E40&lt;&gt;"")+($F40&lt;&gt;""))</f>
        <v>1</v>
      </c>
      <c r="H40" s="38" t="n">
        <f aca="false">IF($D40="","",INDEX(ПРОФЕССИИ!$F$5:$H$39,MATCH($D40,ПРОФЕССИИ!$A$5:$A$39,0),$G40))</f>
        <v>500</v>
      </c>
      <c r="I40" s="37" t="str">
        <f aca="false">IF($D40="","",INDEX(ПРОФЕССИИ!$E$5:$E$39,MATCH($D40,ПРОФЕССИИ!$A$5:$A$39,0)))</f>
        <v>Доход</v>
      </c>
      <c r="J40" s="37" t="str">
        <f aca="false">IF($D40="","",INDEX(ПРОФЕССИИ!$J$5:$J$39,MATCH($D40,ПРОФЕССИИ!$A$5:$A$39,0)))</f>
        <v>Банк (при выплате)</v>
      </c>
      <c r="K40" s="38" t="n">
        <f aca="false">IF($D40="","",($E40&lt;&gt;"")*ИНФА!$F$27+($F40&lt;&gt;"")*ИНФА!$F$28)</f>
        <v>0</v>
      </c>
      <c r="L40" s="47" t="str">
        <f aca="false">IF($D40="","",IF(AND($F40&lt;&gt;"",$E40=""),"сначала уровень 2! ","")&amp;IF(AND($F40&lt;&gt;"",$E40&lt;&gt;"",N($F40)&lt;=N($E40)),"ур. 3 — в более позднем цикле, чем ур. 2! ","")&amp;IF(OR(AND($E40&lt;&gt;"",COUNTIFS($A$5:$A$76,$A40,$E$5:$E$76,$E40)+COUNTIFS($A$5:$A$76,$A40,$F$5:$F$76,$E40)&gt;1),AND($F40&lt;&gt;"",COUNTIFS($A$5:$A$76,$A40,$E$5:$E$76,$F40)+COUNTIFS($A$5:$A$76,$A40,$F$5:$F$76,$F40)&gt;1)),"больше 1 повышения в цикле у компании; ","")&amp;IF(AND($C40="",ИНФА!$F$5&gt;1),"карточка не используется",""))</f>
        <v/>
      </c>
      <c r="N40" s="44"/>
      <c r="O40" s="44"/>
      <c r="P40" s="44"/>
      <c r="Q40" s="37" t="str">
        <f aca="false">IF(OR($O40="",$P40=""),"",MAX(1,SUMIFS($G$5:$G$76,$A$5:$A$76,$O40,$D$5:$D$76,$P40)))</f>
        <v/>
      </c>
      <c r="R40" s="37" t="str">
        <f aca="false">IF($P40="","",INDEX(ПРОФЕССИИ!$E$5:$E$39,MATCH($P40,ПРОФЕССИИ!$A$5:$A$39,0)))</f>
        <v/>
      </c>
      <c r="S40" s="38" t="str">
        <f aca="false">IF(OR($P40="",$Q40=""),"",INDEX(ПРОФЕССИИ!$F$5:$H$39,MATCH($P40,ПРОФЕССИИ!$A$5:$A$39,0),$Q40))</f>
        <v/>
      </c>
      <c r="T40" s="44"/>
      <c r="U40" s="44"/>
      <c r="V40" s="47" t="str">
        <f aca="false">IF($O40="","",IF(COUNTIFS($N$5:$N$124,$N40,$O$5:$O$124,$O40,$P$5:$P$124,$P40)&gt;1,"повтор в этом цикле!","")&amp;IF(COUNTIFS($A$5:$A$76,$O40,$D$5:$D$76,$P40)=0," такой профессии нет у компании (найм?)",""))</f>
        <v/>
      </c>
      <c r="X40" s="44"/>
      <c r="Y40" s="44"/>
      <c r="Z40" s="44"/>
      <c r="AA40" s="44"/>
      <c r="AB40" s="43"/>
      <c r="AC40" s="44"/>
      <c r="AD40" s="47" t="str">
        <f aca="false">IF($Y40="","",IF(AND($AB40&lt;&gt;"",OR($AB40&lt;ИНФА!$F$34,$AB40&gt;ИНФА!$F$35)),"цена вне 1 000–3 000; ","")&amp;IF(COUNTIFS($X$5:$X$64,$X40,$Y$5:$Y$64,$Y40,$Z$5:$Z$64,$Z40)&gt;1,"специалист — один заказ за цикл; ","")&amp;IF($Y40=$AA40,"продавец и покупатель совпадают",""))</f>
        <v/>
      </c>
    </row>
    <row r="41" customFormat="false" ht="15" hidden="false" customHeight="false" outlineLevel="0" collapsed="false">
      <c r="A41" s="36" t="str">
        <f aca="false">ИНФА!$B$11</f>
        <v>Атлас</v>
      </c>
      <c r="B41" s="37" t="n">
        <v>1</v>
      </c>
      <c r="C41" s="44"/>
      <c r="D41" s="44" t="s">
        <v>319</v>
      </c>
      <c r="E41" s="44"/>
      <c r="F41" s="44"/>
      <c r="G41" s="36" t="n">
        <f aca="false">IF($D41="","",1+($E41&lt;&gt;"")+($F41&lt;&gt;""))</f>
        <v>1</v>
      </c>
      <c r="H41" s="38" t="n">
        <f aca="false">IF($D41="","",INDEX(ПРОФЕССИИ!$F$5:$H$39,MATCH($D41,ПРОФЕССИИ!$A$5:$A$39,0),$G41))</f>
        <v>500</v>
      </c>
      <c r="I41" s="37" t="str">
        <f aca="false">IF($D41="","",INDEX(ПРОФЕССИИ!$E$5:$E$39,MATCH($D41,ПРОФЕССИИ!$A$5:$A$39,0)))</f>
        <v>Скидка</v>
      </c>
      <c r="J41" s="37" t="str">
        <f aca="false">IF($D41="","",INDEX(ПРОФЕССИИ!$J$5:$J$39,MATCH($D41,ПРОФЕССИИ!$A$5:$A$39,0)))</f>
        <v>Инфраструктура</v>
      </c>
      <c r="K41" s="38" t="n">
        <f aca="false">IF($D41="","",($E41&lt;&gt;"")*ИНФА!$F$27+($F41&lt;&gt;"")*ИНФА!$F$28)</f>
        <v>0</v>
      </c>
      <c r="L41" s="47" t="str">
        <f aca="false">IF($D41="","",IF(AND($F41&lt;&gt;"",$E41=""),"сначала уровень 2! ","")&amp;IF(AND($F41&lt;&gt;"",$E41&lt;&gt;"",N($F41)&lt;=N($E41)),"ур. 3 — в более позднем цикле, чем ур. 2! ","")&amp;IF(OR(AND($E41&lt;&gt;"",COUNTIFS($A$5:$A$76,$A41,$E$5:$E$76,$E41)+COUNTIFS($A$5:$A$76,$A41,$F$5:$F$76,$E41)&gt;1),AND($F41&lt;&gt;"",COUNTIFS($A$5:$A$76,$A41,$E$5:$E$76,$F41)+COUNTIFS($A$5:$A$76,$A41,$F$5:$F$76,$F41)&gt;1)),"больше 1 повышения в цикле у компании; ","")&amp;IF(AND($C41="",ИНФА!$F$5&gt;1),"карточка не используется",""))</f>
        <v/>
      </c>
      <c r="N41" s="44"/>
      <c r="O41" s="44"/>
      <c r="P41" s="44"/>
      <c r="Q41" s="37" t="str">
        <f aca="false">IF(OR($O41="",$P41=""),"",MAX(1,SUMIFS($G$5:$G$76,$A$5:$A$76,$O41,$D$5:$D$76,$P41)))</f>
        <v/>
      </c>
      <c r="R41" s="37" t="str">
        <f aca="false">IF($P41="","",INDEX(ПРОФЕССИИ!$E$5:$E$39,MATCH($P41,ПРОФЕССИИ!$A$5:$A$39,0)))</f>
        <v/>
      </c>
      <c r="S41" s="38" t="str">
        <f aca="false">IF(OR($P41="",$Q41=""),"",INDEX(ПРОФЕССИИ!$F$5:$H$39,MATCH($P41,ПРОФЕССИИ!$A$5:$A$39,0),$Q41))</f>
        <v/>
      </c>
      <c r="T41" s="44"/>
      <c r="U41" s="44"/>
      <c r="V41" s="47" t="str">
        <f aca="false">IF($O41="","",IF(COUNTIFS($N$5:$N$124,$N41,$O$5:$O$124,$O41,$P$5:$P$124,$P41)&gt;1,"повтор в этом цикле!","")&amp;IF(COUNTIFS($A$5:$A$76,$O41,$D$5:$D$76,$P41)=0," такой профессии нет у компании (найм?)",""))</f>
        <v/>
      </c>
      <c r="X41" s="44"/>
      <c r="Y41" s="44"/>
      <c r="Z41" s="44"/>
      <c r="AA41" s="44"/>
      <c r="AB41" s="43"/>
      <c r="AC41" s="44"/>
      <c r="AD41" s="47" t="str">
        <f aca="false">IF($Y41="","",IF(AND($AB41&lt;&gt;"",OR($AB41&lt;ИНФА!$F$34,$AB41&gt;ИНФА!$F$35)),"цена вне 1 000–3 000; ","")&amp;IF(COUNTIFS($X$5:$X$64,$X41,$Y$5:$Y$64,$Y41,$Z$5:$Z$64,$Z41)&gt;1,"специалист — один заказ за цикл; ","")&amp;IF($Y41=$AA41,"продавец и покупатель совпадают",""))</f>
        <v/>
      </c>
    </row>
    <row r="42" customFormat="false" ht="15" hidden="false" customHeight="false" outlineLevel="0" collapsed="false">
      <c r="A42" s="36" t="str">
        <f aca="false">ИНФА!$B$11</f>
        <v>Атлас</v>
      </c>
      <c r="B42" s="37" t="n">
        <v>2</v>
      </c>
      <c r="C42" s="44"/>
      <c r="D42" s="44" t="s">
        <v>320</v>
      </c>
      <c r="E42" s="44"/>
      <c r="F42" s="44"/>
      <c r="G42" s="36" t="n">
        <f aca="false">IF($D42="","",1+($E42&lt;&gt;"")+($F42&lt;&gt;""))</f>
        <v>1</v>
      </c>
      <c r="H42" s="38" t="n">
        <f aca="false">IF($D42="","",INDEX(ПРОФЕССИИ!$F$5:$H$39,MATCH($D42,ПРОФЕССИИ!$A$5:$A$39,0),$G42))</f>
        <v>500</v>
      </c>
      <c r="I42" s="37" t="str">
        <f aca="false">IF($D42="","",INDEX(ПРОФЕССИИ!$E$5:$E$39,MATCH($D42,ПРОФЕССИИ!$A$5:$A$39,0)))</f>
        <v>Доход</v>
      </c>
      <c r="J42" s="37" t="str">
        <f aca="false">IF($D42="","",INDEX(ПРОФЕССИИ!$J$5:$J$39,MATCH($D42,ПРОФЕССИИ!$A$5:$A$39,0)))</f>
        <v>Банк (при выплате)</v>
      </c>
      <c r="K42" s="38" t="n">
        <f aca="false">IF($D42="","",($E42&lt;&gt;"")*ИНФА!$F$27+($F42&lt;&gt;"")*ИНФА!$F$28)</f>
        <v>0</v>
      </c>
      <c r="L42" s="47" t="str">
        <f aca="false">IF($D42="","",IF(AND($F42&lt;&gt;"",$E42=""),"сначала уровень 2! ","")&amp;IF(AND($F42&lt;&gt;"",$E42&lt;&gt;"",N($F42)&lt;=N($E42)),"ур. 3 — в более позднем цикле, чем ур. 2! ","")&amp;IF(OR(AND($E42&lt;&gt;"",COUNTIFS($A$5:$A$76,$A42,$E$5:$E$76,$E42)+COUNTIFS($A$5:$A$76,$A42,$F$5:$F$76,$E42)&gt;1),AND($F42&lt;&gt;"",COUNTIFS($A$5:$A$76,$A42,$E$5:$E$76,$F42)+COUNTIFS($A$5:$A$76,$A42,$F$5:$F$76,$F42)&gt;1)),"больше 1 повышения в цикле у компании; ","")&amp;IF(AND($C42="",ИНФА!$F$5&gt;1),"карточка не используется",""))</f>
        <v/>
      </c>
      <c r="N42" s="44"/>
      <c r="O42" s="44"/>
      <c r="P42" s="44"/>
      <c r="Q42" s="37" t="str">
        <f aca="false">IF(OR($O42="",$P42=""),"",MAX(1,SUMIFS($G$5:$G$76,$A$5:$A$76,$O42,$D$5:$D$76,$P42)))</f>
        <v/>
      </c>
      <c r="R42" s="37" t="str">
        <f aca="false">IF($P42="","",INDEX(ПРОФЕССИИ!$E$5:$E$39,MATCH($P42,ПРОФЕССИИ!$A$5:$A$39,0)))</f>
        <v/>
      </c>
      <c r="S42" s="38" t="str">
        <f aca="false">IF(OR($P42="",$Q42=""),"",INDEX(ПРОФЕССИИ!$F$5:$H$39,MATCH($P42,ПРОФЕССИИ!$A$5:$A$39,0),$Q42))</f>
        <v/>
      </c>
      <c r="T42" s="44"/>
      <c r="U42" s="44"/>
      <c r="V42" s="47" t="str">
        <f aca="false">IF($O42="","",IF(COUNTIFS($N$5:$N$124,$N42,$O$5:$O$124,$O42,$P$5:$P$124,$P42)&gt;1,"повтор в этом цикле!","")&amp;IF(COUNTIFS($A$5:$A$76,$O42,$D$5:$D$76,$P42)=0," такой профессии нет у компании (найм?)",""))</f>
        <v/>
      </c>
      <c r="X42" s="44"/>
      <c r="Y42" s="44"/>
      <c r="Z42" s="44"/>
      <c r="AA42" s="44"/>
      <c r="AB42" s="43"/>
      <c r="AC42" s="44"/>
      <c r="AD42" s="47" t="str">
        <f aca="false">IF($Y42="","",IF(AND($AB42&lt;&gt;"",OR($AB42&lt;ИНФА!$F$34,$AB42&gt;ИНФА!$F$35)),"цена вне 1 000–3 000; ","")&amp;IF(COUNTIFS($X$5:$X$64,$X42,$Y$5:$Y$64,$Y42,$Z$5:$Z$64,$Z42)&gt;1,"специалист — один заказ за цикл; ","")&amp;IF($Y42=$AA42,"продавец и покупатель совпадают",""))</f>
        <v/>
      </c>
    </row>
    <row r="43" customFormat="false" ht="15" hidden="false" customHeight="false" outlineLevel="0" collapsed="false">
      <c r="A43" s="36" t="str">
        <f aca="false">ИНФА!$B$11</f>
        <v>Атлас</v>
      </c>
      <c r="B43" s="37" t="n">
        <v>3</v>
      </c>
      <c r="C43" s="44"/>
      <c r="D43" s="44" t="s">
        <v>321</v>
      </c>
      <c r="E43" s="44"/>
      <c r="F43" s="44"/>
      <c r="G43" s="36" t="n">
        <f aca="false">IF($D43="","",1+($E43&lt;&gt;"")+($F43&lt;&gt;""))</f>
        <v>1</v>
      </c>
      <c r="H43" s="38" t="n">
        <f aca="false">IF($D43="","",INDEX(ПРОФЕССИИ!$F$5:$H$39,MATCH($D43,ПРОФЕССИИ!$A$5:$A$39,0),$G43))</f>
        <v>500</v>
      </c>
      <c r="I43" s="37" t="str">
        <f aca="false">IF($D43="","",INDEX(ПРОФЕССИИ!$E$5:$E$39,MATCH($D43,ПРОФЕССИИ!$A$5:$A$39,0)))</f>
        <v>Доход</v>
      </c>
      <c r="J43" s="37" t="str">
        <f aca="false">IF($D43="","",INDEX(ПРОФЕССИИ!$J$5:$J$39,MATCH($D43,ПРОФЕССИИ!$A$5:$A$39,0)))</f>
        <v>Банк (при выплате)</v>
      </c>
      <c r="K43" s="38" t="n">
        <f aca="false">IF($D43="","",($E43&lt;&gt;"")*ИНФА!$F$27+($F43&lt;&gt;"")*ИНФА!$F$28)</f>
        <v>0</v>
      </c>
      <c r="L43" s="47" t="str">
        <f aca="false">IF($D43="","",IF(AND($F43&lt;&gt;"",$E43=""),"сначала уровень 2! ","")&amp;IF(AND($F43&lt;&gt;"",$E43&lt;&gt;"",N($F43)&lt;=N($E43)),"ур. 3 — в более позднем цикле, чем ур. 2! ","")&amp;IF(OR(AND($E43&lt;&gt;"",COUNTIFS($A$5:$A$76,$A43,$E$5:$E$76,$E43)+COUNTIFS($A$5:$A$76,$A43,$F$5:$F$76,$E43)&gt;1),AND($F43&lt;&gt;"",COUNTIFS($A$5:$A$76,$A43,$E$5:$E$76,$F43)+COUNTIFS($A$5:$A$76,$A43,$F$5:$F$76,$F43)&gt;1)),"больше 1 повышения в цикле у компании; ","")&amp;IF(AND($C43="",ИНФА!$F$5&gt;1),"карточка не используется",""))</f>
        <v/>
      </c>
      <c r="N43" s="44"/>
      <c r="O43" s="44"/>
      <c r="P43" s="44"/>
      <c r="Q43" s="37" t="str">
        <f aca="false">IF(OR($O43="",$P43=""),"",MAX(1,SUMIFS($G$5:$G$76,$A$5:$A$76,$O43,$D$5:$D$76,$P43)))</f>
        <v/>
      </c>
      <c r="R43" s="37" t="str">
        <f aca="false">IF($P43="","",INDEX(ПРОФЕССИИ!$E$5:$E$39,MATCH($P43,ПРОФЕССИИ!$A$5:$A$39,0)))</f>
        <v/>
      </c>
      <c r="S43" s="38" t="str">
        <f aca="false">IF(OR($P43="",$Q43=""),"",INDEX(ПРОФЕССИИ!$F$5:$H$39,MATCH($P43,ПРОФЕССИИ!$A$5:$A$39,0),$Q43))</f>
        <v/>
      </c>
      <c r="T43" s="44"/>
      <c r="U43" s="44"/>
      <c r="V43" s="47" t="str">
        <f aca="false">IF($O43="","",IF(COUNTIFS($N$5:$N$124,$N43,$O$5:$O$124,$O43,$P$5:$P$124,$P43)&gt;1,"повтор в этом цикле!","")&amp;IF(COUNTIFS($A$5:$A$76,$O43,$D$5:$D$76,$P43)=0," такой профессии нет у компании (найм?)",""))</f>
        <v/>
      </c>
      <c r="X43" s="44"/>
      <c r="Y43" s="44"/>
      <c r="Z43" s="44"/>
      <c r="AA43" s="44"/>
      <c r="AB43" s="43"/>
      <c r="AC43" s="44"/>
      <c r="AD43" s="47" t="str">
        <f aca="false">IF($Y43="","",IF(AND($AB43&lt;&gt;"",OR($AB43&lt;ИНФА!$F$34,$AB43&gt;ИНФА!$F$35)),"цена вне 1 000–3 000; ","")&amp;IF(COUNTIFS($X$5:$X$64,$X43,$Y$5:$Y$64,$Y43,$Z$5:$Z$64,$Z43)&gt;1,"специалист — один заказ за цикл; ","")&amp;IF($Y43=$AA43,"продавец и покупатель совпадают",""))</f>
        <v/>
      </c>
    </row>
    <row r="44" customFormat="false" ht="15" hidden="false" customHeight="false" outlineLevel="0" collapsed="false">
      <c r="A44" s="36" t="str">
        <f aca="false">ИНФА!$B$11</f>
        <v>Атлас</v>
      </c>
      <c r="B44" s="37" t="n">
        <v>4</v>
      </c>
      <c r="C44" s="44"/>
      <c r="D44" s="44" t="s">
        <v>322</v>
      </c>
      <c r="E44" s="44"/>
      <c r="F44" s="44"/>
      <c r="G44" s="36" t="n">
        <f aca="false">IF($D44="","",1+($E44&lt;&gt;"")+($F44&lt;&gt;""))</f>
        <v>1</v>
      </c>
      <c r="H44" s="38" t="n">
        <f aca="false">IF($D44="","",INDEX(ПРОФЕССИИ!$F$5:$H$39,MATCH($D44,ПРОФЕССИИ!$A$5:$A$39,0),$G44))</f>
        <v>500</v>
      </c>
      <c r="I44" s="37" t="str">
        <f aca="false">IF($D44="","",INDEX(ПРОФЕССИИ!$E$5:$E$39,MATCH($D44,ПРОФЕССИИ!$A$5:$A$39,0)))</f>
        <v>Скидка</v>
      </c>
      <c r="J44" s="37" t="str">
        <f aca="false">IF($D44="","",INDEX(ПРОФЕССИИ!$J$5:$J$39,MATCH($D44,ПРОФЕССИИ!$A$5:$A$39,0)))</f>
        <v>Инфраструктура</v>
      </c>
      <c r="K44" s="38" t="n">
        <f aca="false">IF($D44="","",($E44&lt;&gt;"")*ИНФА!$F$27+($F44&lt;&gt;"")*ИНФА!$F$28)</f>
        <v>0</v>
      </c>
      <c r="L44" s="47" t="str">
        <f aca="false">IF($D44="","",IF(AND($F44&lt;&gt;"",$E44=""),"сначала уровень 2! ","")&amp;IF(AND($F44&lt;&gt;"",$E44&lt;&gt;"",N($F44)&lt;=N($E44)),"ур. 3 — в более позднем цикле, чем ур. 2! ","")&amp;IF(OR(AND($E44&lt;&gt;"",COUNTIFS($A$5:$A$76,$A44,$E$5:$E$76,$E44)+COUNTIFS($A$5:$A$76,$A44,$F$5:$F$76,$E44)&gt;1),AND($F44&lt;&gt;"",COUNTIFS($A$5:$A$76,$A44,$E$5:$E$76,$F44)+COUNTIFS($A$5:$A$76,$A44,$F$5:$F$76,$F44)&gt;1)),"больше 1 повышения в цикле у компании; ","")&amp;IF(AND($C44="",ИНФА!$F$5&gt;1),"карточка не используется",""))</f>
        <v/>
      </c>
      <c r="N44" s="44"/>
      <c r="O44" s="44"/>
      <c r="P44" s="44"/>
      <c r="Q44" s="37" t="str">
        <f aca="false">IF(OR($O44="",$P44=""),"",MAX(1,SUMIFS($G$5:$G$76,$A$5:$A$76,$O44,$D$5:$D$76,$P44)))</f>
        <v/>
      </c>
      <c r="R44" s="37" t="str">
        <f aca="false">IF($P44="","",INDEX(ПРОФЕССИИ!$E$5:$E$39,MATCH($P44,ПРОФЕССИИ!$A$5:$A$39,0)))</f>
        <v/>
      </c>
      <c r="S44" s="38" t="str">
        <f aca="false">IF(OR($P44="",$Q44=""),"",INDEX(ПРОФЕССИИ!$F$5:$H$39,MATCH($P44,ПРОФЕССИИ!$A$5:$A$39,0),$Q44))</f>
        <v/>
      </c>
      <c r="T44" s="44"/>
      <c r="U44" s="44"/>
      <c r="V44" s="47" t="str">
        <f aca="false">IF($O44="","",IF(COUNTIFS($N$5:$N$124,$N44,$O$5:$O$124,$O44,$P$5:$P$124,$P44)&gt;1,"повтор в этом цикле!","")&amp;IF(COUNTIFS($A$5:$A$76,$O44,$D$5:$D$76,$P44)=0," такой профессии нет у компании (найм?)",""))</f>
        <v/>
      </c>
      <c r="X44" s="44"/>
      <c r="Y44" s="44"/>
      <c r="Z44" s="44"/>
      <c r="AA44" s="44"/>
      <c r="AB44" s="43"/>
      <c r="AC44" s="44"/>
      <c r="AD44" s="47" t="str">
        <f aca="false">IF($Y44="","",IF(AND($AB44&lt;&gt;"",OR($AB44&lt;ИНФА!$F$34,$AB44&gt;ИНФА!$F$35)),"цена вне 1 000–3 000; ","")&amp;IF(COUNTIFS($X$5:$X$64,$X44,$Y$5:$Y$64,$Y44,$Z$5:$Z$64,$Z44)&gt;1,"специалист — один заказ за цикл; ","")&amp;IF($Y44=$AA44,"продавец и покупатель совпадают",""))</f>
        <v/>
      </c>
    </row>
    <row r="45" customFormat="false" ht="15" hidden="false" customHeight="false" outlineLevel="0" collapsed="false">
      <c r="A45" s="36" t="str">
        <f aca="false">ИНФА!$B$11</f>
        <v>Атлас</v>
      </c>
      <c r="B45" s="37" t="n">
        <v>5</v>
      </c>
      <c r="C45" s="44"/>
      <c r="D45" s="44" t="s">
        <v>323</v>
      </c>
      <c r="E45" s="44"/>
      <c r="F45" s="44"/>
      <c r="G45" s="36" t="n">
        <f aca="false">IF($D45="","",1+($E45&lt;&gt;"")+($F45&lt;&gt;""))</f>
        <v>1</v>
      </c>
      <c r="H45" s="38" t="n">
        <f aca="false">IF($D45="","",INDEX(ПРОФЕССИИ!$F$5:$H$39,MATCH($D45,ПРОФЕССИИ!$A$5:$A$39,0),$G45))</f>
        <v>500</v>
      </c>
      <c r="I45" s="37" t="str">
        <f aca="false">IF($D45="","",INDEX(ПРОФЕССИИ!$E$5:$E$39,MATCH($D45,ПРОФЕССИИ!$A$5:$A$39,0)))</f>
        <v>Доход</v>
      </c>
      <c r="J45" s="37" t="str">
        <f aca="false">IF($D45="","",INDEX(ПРОФЕССИИ!$J$5:$J$39,MATCH($D45,ПРОФЕССИИ!$A$5:$A$39,0)))</f>
        <v>Банк (при выплате)</v>
      </c>
      <c r="K45" s="38" t="n">
        <f aca="false">IF($D45="","",($E45&lt;&gt;"")*ИНФА!$F$27+($F45&lt;&gt;"")*ИНФА!$F$28)</f>
        <v>0</v>
      </c>
      <c r="L45" s="47" t="str">
        <f aca="false">IF($D45="","",IF(AND($F45&lt;&gt;"",$E45=""),"сначала уровень 2! ","")&amp;IF(AND($F45&lt;&gt;"",$E45&lt;&gt;"",N($F45)&lt;=N($E45)),"ур. 3 — в более позднем цикле, чем ур. 2! ","")&amp;IF(OR(AND($E45&lt;&gt;"",COUNTIFS($A$5:$A$76,$A45,$E$5:$E$76,$E45)+COUNTIFS($A$5:$A$76,$A45,$F$5:$F$76,$E45)&gt;1),AND($F45&lt;&gt;"",COUNTIFS($A$5:$A$76,$A45,$E$5:$E$76,$F45)+COUNTIFS($A$5:$A$76,$A45,$F$5:$F$76,$F45)&gt;1)),"больше 1 повышения в цикле у компании; ","")&amp;IF(AND($C45="",ИНФА!$F$5&gt;1),"карточка не используется",""))</f>
        <v/>
      </c>
      <c r="N45" s="44"/>
      <c r="O45" s="44"/>
      <c r="P45" s="44"/>
      <c r="Q45" s="37" t="str">
        <f aca="false">IF(OR($O45="",$P45=""),"",MAX(1,SUMIFS($G$5:$G$76,$A$5:$A$76,$O45,$D$5:$D$76,$P45)))</f>
        <v/>
      </c>
      <c r="R45" s="37" t="str">
        <f aca="false">IF($P45="","",INDEX(ПРОФЕССИИ!$E$5:$E$39,MATCH($P45,ПРОФЕССИИ!$A$5:$A$39,0)))</f>
        <v/>
      </c>
      <c r="S45" s="38" t="str">
        <f aca="false">IF(OR($P45="",$Q45=""),"",INDEX(ПРОФЕССИИ!$F$5:$H$39,MATCH($P45,ПРОФЕССИИ!$A$5:$A$39,0),$Q45))</f>
        <v/>
      </c>
      <c r="T45" s="44"/>
      <c r="U45" s="44"/>
      <c r="V45" s="47" t="str">
        <f aca="false">IF($O45="","",IF(COUNTIFS($N$5:$N$124,$N45,$O$5:$O$124,$O45,$P$5:$P$124,$P45)&gt;1,"повтор в этом цикле!","")&amp;IF(COUNTIFS($A$5:$A$76,$O45,$D$5:$D$76,$P45)=0," такой профессии нет у компании (найм?)",""))</f>
        <v/>
      </c>
      <c r="X45" s="44"/>
      <c r="Y45" s="44"/>
      <c r="Z45" s="44"/>
      <c r="AA45" s="44"/>
      <c r="AB45" s="43"/>
      <c r="AC45" s="44"/>
      <c r="AD45" s="47" t="str">
        <f aca="false">IF($Y45="","",IF(AND($AB45&lt;&gt;"",OR($AB45&lt;ИНФА!$F$34,$AB45&gt;ИНФА!$F$35)),"цена вне 1 000–3 000; ","")&amp;IF(COUNTIFS($X$5:$X$64,$X45,$Y$5:$Y$64,$Y45,$Z$5:$Z$64,$Z45)&gt;1,"специалист — один заказ за цикл; ","")&amp;IF($Y45=$AA45,"продавец и покупатель совпадают",""))</f>
        <v/>
      </c>
    </row>
    <row r="46" customFormat="false" ht="15" hidden="false" customHeight="false" outlineLevel="0" collapsed="false">
      <c r="A46" s="36" t="str">
        <f aca="false">ИНФА!$B$11</f>
        <v>Атлас</v>
      </c>
      <c r="B46" s="37" t="n">
        <v>6</v>
      </c>
      <c r="C46" s="44"/>
      <c r="D46" s="44" t="s">
        <v>324</v>
      </c>
      <c r="E46" s="44"/>
      <c r="F46" s="44"/>
      <c r="G46" s="36" t="n">
        <f aca="false">IF($D46="","",1+($E46&lt;&gt;"")+($F46&lt;&gt;""))</f>
        <v>1</v>
      </c>
      <c r="H46" s="38" t="n">
        <f aca="false">IF($D46="","",INDEX(ПРОФЕССИИ!$F$5:$H$39,MATCH($D46,ПРОФЕССИИ!$A$5:$A$39,0),$G46))</f>
        <v>500</v>
      </c>
      <c r="I46" s="37" t="str">
        <f aca="false">IF($D46="","",INDEX(ПРОФЕССИИ!$E$5:$E$39,MATCH($D46,ПРОФЕССИИ!$A$5:$A$39,0)))</f>
        <v>Штраф</v>
      </c>
      <c r="J46" s="37" t="str">
        <f aca="false">IF($D46="","",INDEX(ПРОФЕССИИ!$J$5:$J$39,MATCH($D46,ПРОФЕССИИ!$A$5:$A$39,0)))</f>
        <v>Гражданские сервисы</v>
      </c>
      <c r="K46" s="38" t="n">
        <f aca="false">IF($D46="","",($E46&lt;&gt;"")*ИНФА!$F$27+($F46&lt;&gt;"")*ИНФА!$F$28)</f>
        <v>0</v>
      </c>
      <c r="L46" s="47" t="str">
        <f aca="false">IF($D46="","",IF(AND($F46&lt;&gt;"",$E46=""),"сначала уровень 2! ","")&amp;IF(AND($F46&lt;&gt;"",$E46&lt;&gt;"",N($F46)&lt;=N($E46)),"ур. 3 — в более позднем цикле, чем ур. 2! ","")&amp;IF(OR(AND($E46&lt;&gt;"",COUNTIFS($A$5:$A$76,$A46,$E$5:$E$76,$E46)+COUNTIFS($A$5:$A$76,$A46,$F$5:$F$76,$E46)&gt;1),AND($F46&lt;&gt;"",COUNTIFS($A$5:$A$76,$A46,$E$5:$E$76,$F46)+COUNTIFS($A$5:$A$76,$A46,$F$5:$F$76,$F46)&gt;1)),"больше 1 повышения в цикле у компании; ","")&amp;IF(AND($C46="",ИНФА!$F$5&gt;1),"карточка не используется",""))</f>
        <v/>
      </c>
      <c r="N46" s="44"/>
      <c r="O46" s="44"/>
      <c r="P46" s="44"/>
      <c r="Q46" s="37" t="str">
        <f aca="false">IF(OR($O46="",$P46=""),"",MAX(1,SUMIFS($G$5:$G$76,$A$5:$A$76,$O46,$D$5:$D$76,$P46)))</f>
        <v/>
      </c>
      <c r="R46" s="37" t="str">
        <f aca="false">IF($P46="","",INDEX(ПРОФЕССИИ!$E$5:$E$39,MATCH($P46,ПРОФЕССИИ!$A$5:$A$39,0)))</f>
        <v/>
      </c>
      <c r="S46" s="38" t="str">
        <f aca="false">IF(OR($P46="",$Q46=""),"",INDEX(ПРОФЕССИИ!$F$5:$H$39,MATCH($P46,ПРОФЕССИИ!$A$5:$A$39,0),$Q46))</f>
        <v/>
      </c>
      <c r="T46" s="44"/>
      <c r="U46" s="44"/>
      <c r="V46" s="47" t="str">
        <f aca="false">IF($O46="","",IF(COUNTIFS($N$5:$N$124,$N46,$O$5:$O$124,$O46,$P$5:$P$124,$P46)&gt;1,"повтор в этом цикле!","")&amp;IF(COUNTIFS($A$5:$A$76,$O46,$D$5:$D$76,$P46)=0," такой профессии нет у компании (найм?)",""))</f>
        <v/>
      </c>
      <c r="X46" s="44"/>
      <c r="Y46" s="44"/>
      <c r="Z46" s="44"/>
      <c r="AA46" s="44"/>
      <c r="AB46" s="43"/>
      <c r="AC46" s="44"/>
      <c r="AD46" s="47" t="str">
        <f aca="false">IF($Y46="","",IF(AND($AB46&lt;&gt;"",OR($AB46&lt;ИНФА!$F$34,$AB46&gt;ИНФА!$F$35)),"цена вне 1 000–3 000; ","")&amp;IF(COUNTIFS($X$5:$X$64,$X46,$Y$5:$Y$64,$Y46,$Z$5:$Z$64,$Z46)&gt;1,"специалист — один заказ за цикл; ","")&amp;IF($Y46=$AA46,"продавец и покупатель совпадают",""))</f>
        <v/>
      </c>
    </row>
    <row r="47" customFormat="false" ht="15" hidden="false" customHeight="false" outlineLevel="0" collapsed="false">
      <c r="A47" s="36" t="str">
        <f aca="false">ИНФА!$B$12</f>
        <v>Орбита</v>
      </c>
      <c r="B47" s="37" t="n">
        <v>1</v>
      </c>
      <c r="C47" s="44"/>
      <c r="D47" s="44" t="s">
        <v>325</v>
      </c>
      <c r="E47" s="44"/>
      <c r="F47" s="44"/>
      <c r="G47" s="36" t="n">
        <f aca="false">IF($D47="","",1+($E47&lt;&gt;"")+($F47&lt;&gt;""))</f>
        <v>1</v>
      </c>
      <c r="H47" s="38" t="n">
        <f aca="false">IF($D47="","",INDEX(ПРОФЕССИИ!$F$5:$H$39,MATCH($D47,ПРОФЕССИИ!$A$5:$A$39,0),$G47))</f>
        <v>500</v>
      </c>
      <c r="I47" s="37" t="str">
        <f aca="false">IF($D47="","",INDEX(ПРОФЕССИИ!$E$5:$E$39,MATCH($D47,ПРОФЕССИИ!$A$5:$A$39,0)))</f>
        <v>Скидка</v>
      </c>
      <c r="J47" s="37" t="str">
        <f aca="false">IF($D47="","",INDEX(ПРОФЕССИИ!$J$5:$J$39,MATCH($D47,ПРОФЕССИИ!$A$5:$A$39,0)))</f>
        <v>Инфраструктура</v>
      </c>
      <c r="K47" s="38" t="n">
        <f aca="false">IF($D47="","",($E47&lt;&gt;"")*ИНФА!$F$27+($F47&lt;&gt;"")*ИНФА!$F$28)</f>
        <v>0</v>
      </c>
      <c r="L47" s="47" t="str">
        <f aca="false">IF($D47="","",IF(AND($F47&lt;&gt;"",$E47=""),"сначала уровень 2! ","")&amp;IF(AND($F47&lt;&gt;"",$E47&lt;&gt;"",N($F47)&lt;=N($E47)),"ур. 3 — в более позднем цикле, чем ур. 2! ","")&amp;IF(OR(AND($E47&lt;&gt;"",COUNTIFS($A$5:$A$76,$A47,$E$5:$E$76,$E47)+COUNTIFS($A$5:$A$76,$A47,$F$5:$F$76,$E47)&gt;1),AND($F47&lt;&gt;"",COUNTIFS($A$5:$A$76,$A47,$E$5:$E$76,$F47)+COUNTIFS($A$5:$A$76,$A47,$F$5:$F$76,$F47)&gt;1)),"больше 1 повышения в цикле у компании; ","")&amp;IF(AND($C47="",ИНФА!$F$5&gt;1),"карточка не используется",""))</f>
        <v/>
      </c>
      <c r="N47" s="44"/>
      <c r="O47" s="44"/>
      <c r="P47" s="44"/>
      <c r="Q47" s="37" t="str">
        <f aca="false">IF(OR($O47="",$P47=""),"",MAX(1,SUMIFS($G$5:$G$76,$A$5:$A$76,$O47,$D$5:$D$76,$P47)))</f>
        <v/>
      </c>
      <c r="R47" s="37" t="str">
        <f aca="false">IF($P47="","",INDEX(ПРОФЕССИИ!$E$5:$E$39,MATCH($P47,ПРОФЕССИИ!$A$5:$A$39,0)))</f>
        <v/>
      </c>
      <c r="S47" s="38" t="str">
        <f aca="false">IF(OR($P47="",$Q47=""),"",INDEX(ПРОФЕССИИ!$F$5:$H$39,MATCH($P47,ПРОФЕССИИ!$A$5:$A$39,0),$Q47))</f>
        <v/>
      </c>
      <c r="T47" s="44"/>
      <c r="U47" s="44"/>
      <c r="V47" s="47" t="str">
        <f aca="false">IF($O47="","",IF(COUNTIFS($N$5:$N$124,$N47,$O$5:$O$124,$O47,$P$5:$P$124,$P47)&gt;1,"повтор в этом цикле!","")&amp;IF(COUNTIFS($A$5:$A$76,$O47,$D$5:$D$76,$P47)=0," такой профессии нет у компании (найм?)",""))</f>
        <v/>
      </c>
      <c r="X47" s="44"/>
      <c r="Y47" s="44"/>
      <c r="Z47" s="44"/>
      <c r="AA47" s="44"/>
      <c r="AB47" s="43"/>
      <c r="AC47" s="44"/>
      <c r="AD47" s="47" t="str">
        <f aca="false">IF($Y47="","",IF(AND($AB47&lt;&gt;"",OR($AB47&lt;ИНФА!$F$34,$AB47&gt;ИНФА!$F$35)),"цена вне 1 000–3 000; ","")&amp;IF(COUNTIFS($X$5:$X$64,$X47,$Y$5:$Y$64,$Y47,$Z$5:$Z$64,$Z47)&gt;1,"специалист — один заказ за цикл; ","")&amp;IF($Y47=$AA47,"продавец и покупатель совпадают",""))</f>
        <v/>
      </c>
    </row>
    <row r="48" customFormat="false" ht="15" hidden="false" customHeight="false" outlineLevel="0" collapsed="false">
      <c r="A48" s="36" t="str">
        <f aca="false">ИНФА!$B$12</f>
        <v>Орбита</v>
      </c>
      <c r="B48" s="37" t="n">
        <v>2</v>
      </c>
      <c r="C48" s="44"/>
      <c r="D48" s="44" t="s">
        <v>326</v>
      </c>
      <c r="E48" s="44"/>
      <c r="F48" s="44"/>
      <c r="G48" s="36" t="n">
        <f aca="false">IF($D48="","",1+($E48&lt;&gt;"")+($F48&lt;&gt;""))</f>
        <v>1</v>
      </c>
      <c r="H48" s="38" t="n">
        <f aca="false">IF($D48="","",INDEX(ПРОФЕССИИ!$F$5:$H$39,MATCH($D48,ПРОФЕССИИ!$A$5:$A$39,0),$G48))</f>
        <v>500</v>
      </c>
      <c r="I48" s="37" t="str">
        <f aca="false">IF($D48="","",INDEX(ПРОФЕССИИ!$E$5:$E$39,MATCH($D48,ПРОФЕССИИ!$A$5:$A$39,0)))</f>
        <v>Доход</v>
      </c>
      <c r="J48" s="37" t="str">
        <f aca="false">IF($D48="","",INDEX(ПРОФЕССИИ!$J$5:$J$39,MATCH($D48,ПРОФЕССИИ!$A$5:$A$39,0)))</f>
        <v>Банк (при выплате)</v>
      </c>
      <c r="K48" s="38" t="n">
        <f aca="false">IF($D48="","",($E48&lt;&gt;"")*ИНФА!$F$27+($F48&lt;&gt;"")*ИНФА!$F$28)</f>
        <v>0</v>
      </c>
      <c r="L48" s="47" t="str">
        <f aca="false">IF($D48="","",IF(AND($F48&lt;&gt;"",$E48=""),"сначала уровень 2! ","")&amp;IF(AND($F48&lt;&gt;"",$E48&lt;&gt;"",N($F48)&lt;=N($E48)),"ур. 3 — в более позднем цикле, чем ур. 2! ","")&amp;IF(OR(AND($E48&lt;&gt;"",COUNTIFS($A$5:$A$76,$A48,$E$5:$E$76,$E48)+COUNTIFS($A$5:$A$76,$A48,$F$5:$F$76,$E48)&gt;1),AND($F48&lt;&gt;"",COUNTIFS($A$5:$A$76,$A48,$E$5:$E$76,$F48)+COUNTIFS($A$5:$A$76,$A48,$F$5:$F$76,$F48)&gt;1)),"больше 1 повышения в цикле у компании; ","")&amp;IF(AND($C48="",ИНФА!$F$5&gt;1),"карточка не используется",""))</f>
        <v/>
      </c>
      <c r="N48" s="44"/>
      <c r="O48" s="44"/>
      <c r="P48" s="44"/>
      <c r="Q48" s="37" t="str">
        <f aca="false">IF(OR($O48="",$P48=""),"",MAX(1,SUMIFS($G$5:$G$76,$A$5:$A$76,$O48,$D$5:$D$76,$P48)))</f>
        <v/>
      </c>
      <c r="R48" s="37" t="str">
        <f aca="false">IF($P48="","",INDEX(ПРОФЕССИИ!$E$5:$E$39,MATCH($P48,ПРОФЕССИИ!$A$5:$A$39,0)))</f>
        <v/>
      </c>
      <c r="S48" s="38" t="str">
        <f aca="false">IF(OR($P48="",$Q48=""),"",INDEX(ПРОФЕССИИ!$F$5:$H$39,MATCH($P48,ПРОФЕССИИ!$A$5:$A$39,0),$Q48))</f>
        <v/>
      </c>
      <c r="T48" s="44"/>
      <c r="U48" s="44"/>
      <c r="V48" s="47" t="str">
        <f aca="false">IF($O48="","",IF(COUNTIFS($N$5:$N$124,$N48,$O$5:$O$124,$O48,$P$5:$P$124,$P48)&gt;1,"повтор в этом цикле!","")&amp;IF(COUNTIFS($A$5:$A$76,$O48,$D$5:$D$76,$P48)=0," такой профессии нет у компании (найм?)",""))</f>
        <v/>
      </c>
      <c r="X48" s="44"/>
      <c r="Y48" s="44"/>
      <c r="Z48" s="44"/>
      <c r="AA48" s="44"/>
      <c r="AB48" s="43"/>
      <c r="AC48" s="44"/>
      <c r="AD48" s="47" t="str">
        <f aca="false">IF($Y48="","",IF(AND($AB48&lt;&gt;"",OR($AB48&lt;ИНФА!$F$34,$AB48&gt;ИНФА!$F$35)),"цена вне 1 000–3 000; ","")&amp;IF(COUNTIFS($X$5:$X$64,$X48,$Y$5:$Y$64,$Y48,$Z$5:$Z$64,$Z48)&gt;1,"специалист — один заказ за цикл; ","")&amp;IF($Y48=$AA48,"продавец и покупатель совпадают",""))</f>
        <v/>
      </c>
    </row>
    <row r="49" customFormat="false" ht="15" hidden="false" customHeight="false" outlineLevel="0" collapsed="false">
      <c r="A49" s="36" t="str">
        <f aca="false">ИНФА!$B$12</f>
        <v>Орбита</v>
      </c>
      <c r="B49" s="37" t="n">
        <v>3</v>
      </c>
      <c r="C49" s="44"/>
      <c r="D49" s="44" t="s">
        <v>327</v>
      </c>
      <c r="E49" s="44"/>
      <c r="F49" s="44"/>
      <c r="G49" s="36" t="n">
        <f aca="false">IF($D49="","",1+($E49&lt;&gt;"")+($F49&lt;&gt;""))</f>
        <v>1</v>
      </c>
      <c r="H49" s="38" t="n">
        <f aca="false">IF($D49="","",INDEX(ПРОФЕССИИ!$F$5:$H$39,MATCH($D49,ПРОФЕССИИ!$A$5:$A$39,0),$G49))</f>
        <v>500</v>
      </c>
      <c r="I49" s="37" t="str">
        <f aca="false">IF($D49="","",INDEX(ПРОФЕССИИ!$E$5:$E$39,MATCH($D49,ПРОФЕССИИ!$A$5:$A$39,0)))</f>
        <v>Доход</v>
      </c>
      <c r="J49" s="37" t="str">
        <f aca="false">IF($D49="","",INDEX(ПРОФЕССИИ!$J$5:$J$39,MATCH($D49,ПРОФЕССИИ!$A$5:$A$39,0)))</f>
        <v>Банк (при выплате)</v>
      </c>
      <c r="K49" s="38" t="n">
        <f aca="false">IF($D49="","",($E49&lt;&gt;"")*ИНФА!$F$27+($F49&lt;&gt;"")*ИНФА!$F$28)</f>
        <v>0</v>
      </c>
      <c r="L49" s="47" t="str">
        <f aca="false">IF($D49="","",IF(AND($F49&lt;&gt;"",$E49=""),"сначала уровень 2! ","")&amp;IF(AND($F49&lt;&gt;"",$E49&lt;&gt;"",N($F49)&lt;=N($E49)),"ур. 3 — в более позднем цикле, чем ур. 2! ","")&amp;IF(OR(AND($E49&lt;&gt;"",COUNTIFS($A$5:$A$76,$A49,$E$5:$E$76,$E49)+COUNTIFS($A$5:$A$76,$A49,$F$5:$F$76,$E49)&gt;1),AND($F49&lt;&gt;"",COUNTIFS($A$5:$A$76,$A49,$E$5:$E$76,$F49)+COUNTIFS($A$5:$A$76,$A49,$F$5:$F$76,$F49)&gt;1)),"больше 1 повышения в цикле у компании; ","")&amp;IF(AND($C49="",ИНФА!$F$5&gt;1),"карточка не используется",""))</f>
        <v/>
      </c>
      <c r="N49" s="44"/>
      <c r="O49" s="44"/>
      <c r="P49" s="44"/>
      <c r="Q49" s="37" t="str">
        <f aca="false">IF(OR($O49="",$P49=""),"",MAX(1,SUMIFS($G$5:$G$76,$A$5:$A$76,$O49,$D$5:$D$76,$P49)))</f>
        <v/>
      </c>
      <c r="R49" s="37" t="str">
        <f aca="false">IF($P49="","",INDEX(ПРОФЕССИИ!$E$5:$E$39,MATCH($P49,ПРОФЕССИИ!$A$5:$A$39,0)))</f>
        <v/>
      </c>
      <c r="S49" s="38" t="str">
        <f aca="false">IF(OR($P49="",$Q49=""),"",INDEX(ПРОФЕССИИ!$F$5:$H$39,MATCH($P49,ПРОФЕССИИ!$A$5:$A$39,0),$Q49))</f>
        <v/>
      </c>
      <c r="T49" s="44"/>
      <c r="U49" s="44"/>
      <c r="V49" s="47" t="str">
        <f aca="false">IF($O49="","",IF(COUNTIFS($N$5:$N$124,$N49,$O$5:$O$124,$O49,$P$5:$P$124,$P49)&gt;1,"повтор в этом цикле!","")&amp;IF(COUNTIFS($A$5:$A$76,$O49,$D$5:$D$76,$P49)=0," такой профессии нет у компании (найм?)",""))</f>
        <v/>
      </c>
      <c r="X49" s="44"/>
      <c r="Y49" s="44"/>
      <c r="Z49" s="44"/>
      <c r="AA49" s="44"/>
      <c r="AB49" s="43"/>
      <c r="AC49" s="44"/>
      <c r="AD49" s="47" t="str">
        <f aca="false">IF($Y49="","",IF(AND($AB49&lt;&gt;"",OR($AB49&lt;ИНФА!$F$34,$AB49&gt;ИНФА!$F$35)),"цена вне 1 000–3 000; ","")&amp;IF(COUNTIFS($X$5:$X$64,$X49,$Y$5:$Y$64,$Y49,$Z$5:$Z$64,$Z49)&gt;1,"специалист — один заказ за цикл; ","")&amp;IF($Y49=$AA49,"продавец и покупатель совпадают",""))</f>
        <v/>
      </c>
    </row>
    <row r="50" customFormat="false" ht="15" hidden="false" customHeight="false" outlineLevel="0" collapsed="false">
      <c r="A50" s="36" t="str">
        <f aca="false">ИНФА!$B$12</f>
        <v>Орбита</v>
      </c>
      <c r="B50" s="37" t="n">
        <v>4</v>
      </c>
      <c r="C50" s="44"/>
      <c r="D50" s="44" t="s">
        <v>328</v>
      </c>
      <c r="E50" s="44"/>
      <c r="F50" s="44"/>
      <c r="G50" s="36" t="n">
        <f aca="false">IF($D50="","",1+($E50&lt;&gt;"")+($F50&lt;&gt;""))</f>
        <v>1</v>
      </c>
      <c r="H50" s="38" t="n">
        <f aca="false">IF($D50="","",INDEX(ПРОФЕССИИ!$F$5:$H$39,MATCH($D50,ПРОФЕССИИ!$A$5:$A$39,0),$G50))</f>
        <v>500</v>
      </c>
      <c r="I50" s="37" t="str">
        <f aca="false">IF($D50="","",INDEX(ПРОФЕССИИ!$E$5:$E$39,MATCH($D50,ПРОФЕССИИ!$A$5:$A$39,0)))</f>
        <v>Доход</v>
      </c>
      <c r="J50" s="37" t="str">
        <f aca="false">IF($D50="","",INDEX(ПРОФЕССИИ!$J$5:$J$39,MATCH($D50,ПРОФЕССИИ!$A$5:$A$39,0)))</f>
        <v>Банк (при выплате)</v>
      </c>
      <c r="K50" s="38" t="n">
        <f aca="false">IF($D50="","",($E50&lt;&gt;"")*ИНФА!$F$27+($F50&lt;&gt;"")*ИНФА!$F$28)</f>
        <v>0</v>
      </c>
      <c r="L50" s="47" t="str">
        <f aca="false">IF($D50="","",IF(AND($F50&lt;&gt;"",$E50=""),"сначала уровень 2! ","")&amp;IF(AND($F50&lt;&gt;"",$E50&lt;&gt;"",N($F50)&lt;=N($E50)),"ур. 3 — в более позднем цикле, чем ур. 2! ","")&amp;IF(OR(AND($E50&lt;&gt;"",COUNTIFS($A$5:$A$76,$A50,$E$5:$E$76,$E50)+COUNTIFS($A$5:$A$76,$A50,$F$5:$F$76,$E50)&gt;1),AND($F50&lt;&gt;"",COUNTIFS($A$5:$A$76,$A50,$E$5:$E$76,$F50)+COUNTIFS($A$5:$A$76,$A50,$F$5:$F$76,$F50)&gt;1)),"больше 1 повышения в цикле у компании; ","")&amp;IF(AND($C50="",ИНФА!$F$5&gt;1),"карточка не используется",""))</f>
        <v/>
      </c>
      <c r="N50" s="44"/>
      <c r="O50" s="44"/>
      <c r="P50" s="44"/>
      <c r="Q50" s="37" t="str">
        <f aca="false">IF(OR($O50="",$P50=""),"",MAX(1,SUMIFS($G$5:$G$76,$A$5:$A$76,$O50,$D$5:$D$76,$P50)))</f>
        <v/>
      </c>
      <c r="R50" s="37" t="str">
        <f aca="false">IF($P50="","",INDEX(ПРОФЕССИИ!$E$5:$E$39,MATCH($P50,ПРОФЕССИИ!$A$5:$A$39,0)))</f>
        <v/>
      </c>
      <c r="S50" s="38" t="str">
        <f aca="false">IF(OR($P50="",$Q50=""),"",INDEX(ПРОФЕССИИ!$F$5:$H$39,MATCH($P50,ПРОФЕССИИ!$A$5:$A$39,0),$Q50))</f>
        <v/>
      </c>
      <c r="T50" s="44"/>
      <c r="U50" s="44"/>
      <c r="V50" s="47" t="str">
        <f aca="false">IF($O50="","",IF(COUNTIFS($N$5:$N$124,$N50,$O$5:$O$124,$O50,$P$5:$P$124,$P50)&gt;1,"повтор в этом цикле!","")&amp;IF(COUNTIFS($A$5:$A$76,$O50,$D$5:$D$76,$P50)=0," такой профессии нет у компании (найм?)",""))</f>
        <v/>
      </c>
      <c r="X50" s="44"/>
      <c r="Y50" s="44"/>
      <c r="Z50" s="44"/>
      <c r="AA50" s="44"/>
      <c r="AB50" s="43"/>
      <c r="AC50" s="44"/>
      <c r="AD50" s="47" t="str">
        <f aca="false">IF($Y50="","",IF(AND($AB50&lt;&gt;"",OR($AB50&lt;ИНФА!$F$34,$AB50&gt;ИНФА!$F$35)),"цена вне 1 000–3 000; ","")&amp;IF(COUNTIFS($X$5:$X$64,$X50,$Y$5:$Y$64,$Y50,$Z$5:$Z$64,$Z50)&gt;1,"специалист — один заказ за цикл; ","")&amp;IF($Y50=$AA50,"продавец и покупатель совпадают",""))</f>
        <v/>
      </c>
    </row>
    <row r="51" customFormat="false" ht="15" hidden="false" customHeight="false" outlineLevel="0" collapsed="false">
      <c r="A51" s="36" t="str">
        <f aca="false">ИНФА!$B$12</f>
        <v>Орбита</v>
      </c>
      <c r="B51" s="37" t="n">
        <v>5</v>
      </c>
      <c r="C51" s="44"/>
      <c r="D51" s="44" t="s">
        <v>329</v>
      </c>
      <c r="E51" s="44"/>
      <c r="F51" s="44"/>
      <c r="G51" s="36" t="n">
        <f aca="false">IF($D51="","",1+($E51&lt;&gt;"")+($F51&lt;&gt;""))</f>
        <v>1</v>
      </c>
      <c r="H51" s="38" t="n">
        <f aca="false">IF($D51="","",INDEX(ПРОФЕССИИ!$F$5:$H$39,MATCH($D51,ПРОФЕССИИ!$A$5:$A$39,0),$G51))</f>
        <v>500</v>
      </c>
      <c r="I51" s="37" t="str">
        <f aca="false">IF($D51="","",INDEX(ПРОФЕССИИ!$E$5:$E$39,MATCH($D51,ПРОФЕССИИ!$A$5:$A$39,0)))</f>
        <v>Проект</v>
      </c>
      <c r="J51" s="37" t="str">
        <f aca="false">IF($D51="","",INDEX(ПРОФЕССИИ!$J$5:$J$39,MATCH($D51,ПРОФЕССИИ!$A$5:$A$39,0)))</f>
        <v>Гражданские сервисы</v>
      </c>
      <c r="K51" s="38" t="n">
        <f aca="false">IF($D51="","",($E51&lt;&gt;"")*ИНФА!$F$27+($F51&lt;&gt;"")*ИНФА!$F$28)</f>
        <v>0</v>
      </c>
      <c r="L51" s="47" t="str">
        <f aca="false">IF($D51="","",IF(AND($F51&lt;&gt;"",$E51=""),"сначала уровень 2! ","")&amp;IF(AND($F51&lt;&gt;"",$E51&lt;&gt;"",N($F51)&lt;=N($E51)),"ур. 3 — в более позднем цикле, чем ур. 2! ","")&amp;IF(OR(AND($E51&lt;&gt;"",COUNTIFS($A$5:$A$76,$A51,$E$5:$E$76,$E51)+COUNTIFS($A$5:$A$76,$A51,$F$5:$F$76,$E51)&gt;1),AND($F51&lt;&gt;"",COUNTIFS($A$5:$A$76,$A51,$E$5:$E$76,$F51)+COUNTIFS($A$5:$A$76,$A51,$F$5:$F$76,$F51)&gt;1)),"больше 1 повышения в цикле у компании; ","")&amp;IF(AND($C51="",ИНФА!$F$5&gt;1),"карточка не используется",""))</f>
        <v/>
      </c>
      <c r="N51" s="44"/>
      <c r="O51" s="44"/>
      <c r="P51" s="44"/>
      <c r="Q51" s="37" t="str">
        <f aca="false">IF(OR($O51="",$P51=""),"",MAX(1,SUMIFS($G$5:$G$76,$A$5:$A$76,$O51,$D$5:$D$76,$P51)))</f>
        <v/>
      </c>
      <c r="R51" s="37" t="str">
        <f aca="false">IF($P51="","",INDEX(ПРОФЕССИИ!$E$5:$E$39,MATCH($P51,ПРОФЕССИИ!$A$5:$A$39,0)))</f>
        <v/>
      </c>
      <c r="S51" s="38" t="str">
        <f aca="false">IF(OR($P51="",$Q51=""),"",INDEX(ПРОФЕССИИ!$F$5:$H$39,MATCH($P51,ПРОФЕССИИ!$A$5:$A$39,0),$Q51))</f>
        <v/>
      </c>
      <c r="T51" s="44"/>
      <c r="U51" s="44"/>
      <c r="V51" s="47" t="str">
        <f aca="false">IF($O51="","",IF(COUNTIFS($N$5:$N$124,$N51,$O$5:$O$124,$O51,$P$5:$P$124,$P51)&gt;1,"повтор в этом цикле!","")&amp;IF(COUNTIFS($A$5:$A$76,$O51,$D$5:$D$76,$P51)=0," такой профессии нет у компании (найм?)",""))</f>
        <v/>
      </c>
      <c r="X51" s="44"/>
      <c r="Y51" s="44"/>
      <c r="Z51" s="44"/>
      <c r="AA51" s="44"/>
      <c r="AB51" s="43"/>
      <c r="AC51" s="44"/>
      <c r="AD51" s="47" t="str">
        <f aca="false">IF($Y51="","",IF(AND($AB51&lt;&gt;"",OR($AB51&lt;ИНФА!$F$34,$AB51&gt;ИНФА!$F$35)),"цена вне 1 000–3 000; ","")&amp;IF(COUNTIFS($X$5:$X$64,$X51,$Y$5:$Y$64,$Y51,$Z$5:$Z$64,$Z51)&gt;1,"специалист — один заказ за цикл; ","")&amp;IF($Y51=$AA51,"продавец и покупатель совпадают",""))</f>
        <v/>
      </c>
    </row>
    <row r="52" customFormat="false" ht="15" hidden="false" customHeight="false" outlineLevel="0" collapsed="false">
      <c r="A52" s="36" t="str">
        <f aca="false">ИНФА!$B$12</f>
        <v>Орбита</v>
      </c>
      <c r="B52" s="37" t="n">
        <v>6</v>
      </c>
      <c r="C52" s="44"/>
      <c r="D52" s="44" t="s">
        <v>330</v>
      </c>
      <c r="E52" s="44"/>
      <c r="F52" s="44"/>
      <c r="G52" s="36" t="n">
        <f aca="false">IF($D52="","",1+($E52&lt;&gt;"")+($F52&lt;&gt;""))</f>
        <v>1</v>
      </c>
      <c r="H52" s="38" t="n">
        <f aca="false">IF($D52="","",INDEX(ПРОФЕССИИ!$F$5:$H$39,MATCH($D52,ПРОФЕССИИ!$A$5:$A$39,0),$G52))</f>
        <v>500</v>
      </c>
      <c r="I52" s="37" t="str">
        <f aca="false">IF($D52="","",INDEX(ПРОФЕССИИ!$E$5:$E$39,MATCH($D52,ПРОФЕССИИ!$A$5:$A$39,0)))</f>
        <v>Штраф</v>
      </c>
      <c r="J52" s="37" t="str">
        <f aca="false">IF($D52="","",INDEX(ПРОФЕССИИ!$J$5:$J$39,MATCH($D52,ПРОФЕССИИ!$A$5:$A$39,0)))</f>
        <v>Гражданские сервисы</v>
      </c>
      <c r="K52" s="38" t="n">
        <f aca="false">IF($D52="","",($E52&lt;&gt;"")*ИНФА!$F$27+($F52&lt;&gt;"")*ИНФА!$F$28)</f>
        <v>0</v>
      </c>
      <c r="L52" s="47" t="str">
        <f aca="false">IF($D52="","",IF(AND($F52&lt;&gt;"",$E52=""),"сначала уровень 2! ","")&amp;IF(AND($F52&lt;&gt;"",$E52&lt;&gt;"",N($F52)&lt;=N($E52)),"ур. 3 — в более позднем цикле, чем ур. 2! ","")&amp;IF(OR(AND($E52&lt;&gt;"",COUNTIFS($A$5:$A$76,$A52,$E$5:$E$76,$E52)+COUNTIFS($A$5:$A$76,$A52,$F$5:$F$76,$E52)&gt;1),AND($F52&lt;&gt;"",COUNTIFS($A$5:$A$76,$A52,$E$5:$E$76,$F52)+COUNTIFS($A$5:$A$76,$A52,$F$5:$F$76,$F52)&gt;1)),"больше 1 повышения в цикле у компании; ","")&amp;IF(AND($C52="",ИНФА!$F$5&gt;1),"карточка не используется",""))</f>
        <v/>
      </c>
      <c r="N52" s="44"/>
      <c r="O52" s="44"/>
      <c r="P52" s="44"/>
      <c r="Q52" s="37" t="str">
        <f aca="false">IF(OR($O52="",$P52=""),"",MAX(1,SUMIFS($G$5:$G$76,$A$5:$A$76,$O52,$D$5:$D$76,$P52)))</f>
        <v/>
      </c>
      <c r="R52" s="37" t="str">
        <f aca="false">IF($P52="","",INDEX(ПРОФЕССИИ!$E$5:$E$39,MATCH($P52,ПРОФЕССИИ!$A$5:$A$39,0)))</f>
        <v/>
      </c>
      <c r="S52" s="38" t="str">
        <f aca="false">IF(OR($P52="",$Q52=""),"",INDEX(ПРОФЕССИИ!$F$5:$H$39,MATCH($P52,ПРОФЕССИИ!$A$5:$A$39,0),$Q52))</f>
        <v/>
      </c>
      <c r="T52" s="44"/>
      <c r="U52" s="44"/>
      <c r="V52" s="47" t="str">
        <f aca="false">IF($O52="","",IF(COUNTIFS($N$5:$N$124,$N52,$O$5:$O$124,$O52,$P$5:$P$124,$P52)&gt;1,"повтор в этом цикле!","")&amp;IF(COUNTIFS($A$5:$A$76,$O52,$D$5:$D$76,$P52)=0," такой профессии нет у компании (найм?)",""))</f>
        <v/>
      </c>
      <c r="X52" s="44"/>
      <c r="Y52" s="44"/>
      <c r="Z52" s="44"/>
      <c r="AA52" s="44"/>
      <c r="AB52" s="43"/>
      <c r="AC52" s="44"/>
      <c r="AD52" s="47" t="str">
        <f aca="false">IF($Y52="","",IF(AND($AB52&lt;&gt;"",OR($AB52&lt;ИНФА!$F$34,$AB52&gt;ИНФА!$F$35)),"цена вне 1 000–3 000; ","")&amp;IF(COUNTIFS($X$5:$X$64,$X52,$Y$5:$Y$64,$Y52,$Z$5:$Z$64,$Z52)&gt;1,"специалист — один заказ за цикл; ","")&amp;IF($Y52=$AA52,"продавец и покупатель совпадают",""))</f>
        <v/>
      </c>
    </row>
    <row r="53" customFormat="false" ht="15" hidden="false" customHeight="false" outlineLevel="0" collapsed="false">
      <c r="A53" s="36" t="str">
        <f aca="false">ИНФА!$B$13</f>
        <v>Квант</v>
      </c>
      <c r="B53" s="37" t="n">
        <v>1</v>
      </c>
      <c r="C53" s="44"/>
      <c r="D53" s="44" t="s">
        <v>331</v>
      </c>
      <c r="E53" s="44"/>
      <c r="F53" s="44"/>
      <c r="G53" s="36" t="n">
        <f aca="false">IF($D53="","",1+($E53&lt;&gt;"")+($F53&lt;&gt;""))</f>
        <v>1</v>
      </c>
      <c r="H53" s="38" t="n">
        <f aca="false">IF($D53="","",INDEX(ПРОФЕССИИ!$F$5:$H$39,MATCH($D53,ПРОФЕССИИ!$A$5:$A$39,0),$G53))</f>
        <v>500</v>
      </c>
      <c r="I53" s="37" t="str">
        <f aca="false">IF($D53="","",INDEX(ПРОФЕССИИ!$E$5:$E$39,MATCH($D53,ПРОФЕССИИ!$A$5:$A$39,0)))</f>
        <v>Доход</v>
      </c>
      <c r="J53" s="37" t="str">
        <f aca="false">IF($D53="","",INDEX(ПРОФЕССИИ!$J$5:$J$39,MATCH($D53,ПРОФЕССИИ!$A$5:$A$39,0)))</f>
        <v>Банк (при выплате)</v>
      </c>
      <c r="K53" s="38" t="n">
        <f aca="false">IF($D53="","",($E53&lt;&gt;"")*ИНФА!$F$27+($F53&lt;&gt;"")*ИНФА!$F$28)</f>
        <v>0</v>
      </c>
      <c r="L53" s="47" t="str">
        <f aca="false">IF($D53="","",IF(AND($F53&lt;&gt;"",$E53=""),"сначала уровень 2! ","")&amp;IF(AND($F53&lt;&gt;"",$E53&lt;&gt;"",N($F53)&lt;=N($E53)),"ур. 3 — в более позднем цикле, чем ур. 2! ","")&amp;IF(OR(AND($E53&lt;&gt;"",COUNTIFS($A$5:$A$76,$A53,$E$5:$E$76,$E53)+COUNTIFS($A$5:$A$76,$A53,$F$5:$F$76,$E53)&gt;1),AND($F53&lt;&gt;"",COUNTIFS($A$5:$A$76,$A53,$E$5:$E$76,$F53)+COUNTIFS($A$5:$A$76,$A53,$F$5:$F$76,$F53)&gt;1)),"больше 1 повышения в цикле у компании; ","")&amp;IF(AND($C53="",ИНФА!$F$5&gt;1),"карточка не используется",""))</f>
        <v/>
      </c>
      <c r="N53" s="44"/>
      <c r="O53" s="44"/>
      <c r="P53" s="44"/>
      <c r="Q53" s="37" t="str">
        <f aca="false">IF(OR($O53="",$P53=""),"",MAX(1,SUMIFS($G$5:$G$76,$A$5:$A$76,$O53,$D$5:$D$76,$P53)))</f>
        <v/>
      </c>
      <c r="R53" s="37" t="str">
        <f aca="false">IF($P53="","",INDEX(ПРОФЕССИИ!$E$5:$E$39,MATCH($P53,ПРОФЕССИИ!$A$5:$A$39,0)))</f>
        <v/>
      </c>
      <c r="S53" s="38" t="str">
        <f aca="false">IF(OR($P53="",$Q53=""),"",INDEX(ПРОФЕССИИ!$F$5:$H$39,MATCH($P53,ПРОФЕССИИ!$A$5:$A$39,0),$Q53))</f>
        <v/>
      </c>
      <c r="T53" s="44"/>
      <c r="U53" s="44"/>
      <c r="V53" s="47" t="str">
        <f aca="false">IF($O53="","",IF(COUNTIFS($N$5:$N$124,$N53,$O$5:$O$124,$O53,$P$5:$P$124,$P53)&gt;1,"повтор в этом цикле!","")&amp;IF(COUNTIFS($A$5:$A$76,$O53,$D$5:$D$76,$P53)=0," такой профессии нет у компании (найм?)",""))</f>
        <v/>
      </c>
      <c r="X53" s="44"/>
      <c r="Y53" s="44"/>
      <c r="Z53" s="44"/>
      <c r="AA53" s="44"/>
      <c r="AB53" s="43"/>
      <c r="AC53" s="44"/>
      <c r="AD53" s="47" t="str">
        <f aca="false">IF($Y53="","",IF(AND($AB53&lt;&gt;"",OR($AB53&lt;ИНФА!$F$34,$AB53&gt;ИНФА!$F$35)),"цена вне 1 000–3 000; ","")&amp;IF(COUNTIFS($X$5:$X$64,$X53,$Y$5:$Y$64,$Y53,$Z$5:$Z$64,$Z53)&gt;1,"специалист — один заказ за цикл; ","")&amp;IF($Y53=$AA53,"продавец и покупатель совпадают",""))</f>
        <v/>
      </c>
    </row>
    <row r="54" customFormat="false" ht="15" hidden="false" customHeight="false" outlineLevel="0" collapsed="false">
      <c r="A54" s="36" t="str">
        <f aca="false">ИНФА!$B$13</f>
        <v>Квант</v>
      </c>
      <c r="B54" s="37" t="n">
        <v>2</v>
      </c>
      <c r="C54" s="44"/>
      <c r="D54" s="44" t="s">
        <v>332</v>
      </c>
      <c r="E54" s="44"/>
      <c r="F54" s="44"/>
      <c r="G54" s="36" t="n">
        <f aca="false">IF($D54="","",1+($E54&lt;&gt;"")+($F54&lt;&gt;""))</f>
        <v>1</v>
      </c>
      <c r="H54" s="38" t="n">
        <f aca="false">IF($D54="","",INDEX(ПРОФЕССИИ!$F$5:$H$39,MATCH($D54,ПРОФЕССИИ!$A$5:$A$39,0),$G54))</f>
        <v>500</v>
      </c>
      <c r="I54" s="37" t="str">
        <f aca="false">IF($D54="","",INDEX(ПРОФЕССИИ!$E$5:$E$39,MATCH($D54,ПРОФЕССИИ!$A$5:$A$39,0)))</f>
        <v>Доход</v>
      </c>
      <c r="J54" s="37" t="str">
        <f aca="false">IF($D54="","",INDEX(ПРОФЕССИИ!$J$5:$J$39,MATCH($D54,ПРОФЕССИИ!$A$5:$A$39,0)))</f>
        <v>Банк (при выплате)</v>
      </c>
      <c r="K54" s="38" t="n">
        <f aca="false">IF($D54="","",($E54&lt;&gt;"")*ИНФА!$F$27+($F54&lt;&gt;"")*ИНФА!$F$28)</f>
        <v>0</v>
      </c>
      <c r="L54" s="47" t="str">
        <f aca="false">IF($D54="","",IF(AND($F54&lt;&gt;"",$E54=""),"сначала уровень 2! ","")&amp;IF(AND($F54&lt;&gt;"",$E54&lt;&gt;"",N($F54)&lt;=N($E54)),"ур. 3 — в более позднем цикле, чем ур. 2! ","")&amp;IF(OR(AND($E54&lt;&gt;"",COUNTIFS($A$5:$A$76,$A54,$E$5:$E$76,$E54)+COUNTIFS($A$5:$A$76,$A54,$F$5:$F$76,$E54)&gt;1),AND($F54&lt;&gt;"",COUNTIFS($A$5:$A$76,$A54,$E$5:$E$76,$F54)+COUNTIFS($A$5:$A$76,$A54,$F$5:$F$76,$F54)&gt;1)),"больше 1 повышения в цикле у компании; ","")&amp;IF(AND($C54="",ИНФА!$F$5&gt;1),"карточка не используется",""))</f>
        <v/>
      </c>
      <c r="N54" s="44"/>
      <c r="O54" s="44"/>
      <c r="P54" s="44"/>
      <c r="Q54" s="37" t="str">
        <f aca="false">IF(OR($O54="",$P54=""),"",MAX(1,SUMIFS($G$5:$G$76,$A$5:$A$76,$O54,$D$5:$D$76,$P54)))</f>
        <v/>
      </c>
      <c r="R54" s="37" t="str">
        <f aca="false">IF($P54="","",INDEX(ПРОФЕССИИ!$E$5:$E$39,MATCH($P54,ПРОФЕССИИ!$A$5:$A$39,0)))</f>
        <v/>
      </c>
      <c r="S54" s="38" t="str">
        <f aca="false">IF(OR($P54="",$Q54=""),"",INDEX(ПРОФЕССИИ!$F$5:$H$39,MATCH($P54,ПРОФЕССИИ!$A$5:$A$39,0),$Q54))</f>
        <v/>
      </c>
      <c r="T54" s="44"/>
      <c r="U54" s="44"/>
      <c r="V54" s="47" t="str">
        <f aca="false">IF($O54="","",IF(COUNTIFS($N$5:$N$124,$N54,$O$5:$O$124,$O54,$P$5:$P$124,$P54)&gt;1,"повтор в этом цикле!","")&amp;IF(COUNTIFS($A$5:$A$76,$O54,$D$5:$D$76,$P54)=0," такой профессии нет у компании (найм?)",""))</f>
        <v/>
      </c>
      <c r="X54" s="44"/>
      <c r="Y54" s="44"/>
      <c r="Z54" s="44"/>
      <c r="AA54" s="44"/>
      <c r="AB54" s="43"/>
      <c r="AC54" s="44"/>
      <c r="AD54" s="47" t="str">
        <f aca="false">IF($Y54="","",IF(AND($AB54&lt;&gt;"",OR($AB54&lt;ИНФА!$F$34,$AB54&gt;ИНФА!$F$35)),"цена вне 1 000–3 000; ","")&amp;IF(COUNTIFS($X$5:$X$64,$X54,$Y$5:$Y$64,$Y54,$Z$5:$Z$64,$Z54)&gt;1,"специалист — один заказ за цикл; ","")&amp;IF($Y54=$AA54,"продавец и покупатель совпадают",""))</f>
        <v/>
      </c>
    </row>
    <row r="55" customFormat="false" ht="15" hidden="false" customHeight="false" outlineLevel="0" collapsed="false">
      <c r="A55" s="36" t="str">
        <f aca="false">ИНФА!$B$13</f>
        <v>Квант</v>
      </c>
      <c r="B55" s="37" t="n">
        <v>3</v>
      </c>
      <c r="C55" s="44"/>
      <c r="D55" s="44" t="s">
        <v>333</v>
      </c>
      <c r="E55" s="44"/>
      <c r="F55" s="44"/>
      <c r="G55" s="36" t="n">
        <f aca="false">IF($D55="","",1+($E55&lt;&gt;"")+($F55&lt;&gt;""))</f>
        <v>1</v>
      </c>
      <c r="H55" s="38" t="n">
        <f aca="false">IF($D55="","",INDEX(ПРОФЕССИИ!$F$5:$H$39,MATCH($D55,ПРОФЕССИИ!$A$5:$A$39,0),$G55))</f>
        <v>500</v>
      </c>
      <c r="I55" s="37" t="str">
        <f aca="false">IF($D55="","",INDEX(ПРОФЕССИИ!$E$5:$E$39,MATCH($D55,ПРОФЕССИИ!$A$5:$A$39,0)))</f>
        <v>Скидка</v>
      </c>
      <c r="J55" s="37" t="str">
        <f aca="false">IF($D55="","",INDEX(ПРОФЕССИИ!$J$5:$J$39,MATCH($D55,ПРОФЕССИИ!$A$5:$A$39,0)))</f>
        <v>Инфраструктура</v>
      </c>
      <c r="K55" s="38" t="n">
        <f aca="false">IF($D55="","",($E55&lt;&gt;"")*ИНФА!$F$27+($F55&lt;&gt;"")*ИНФА!$F$28)</f>
        <v>0</v>
      </c>
      <c r="L55" s="47" t="str">
        <f aca="false">IF($D55="","",IF(AND($F55&lt;&gt;"",$E55=""),"сначала уровень 2! ","")&amp;IF(AND($F55&lt;&gt;"",$E55&lt;&gt;"",N($F55)&lt;=N($E55)),"ур. 3 — в более позднем цикле, чем ур. 2! ","")&amp;IF(OR(AND($E55&lt;&gt;"",COUNTIFS($A$5:$A$76,$A55,$E$5:$E$76,$E55)+COUNTIFS($A$5:$A$76,$A55,$F$5:$F$76,$E55)&gt;1),AND($F55&lt;&gt;"",COUNTIFS($A$5:$A$76,$A55,$E$5:$E$76,$F55)+COUNTIFS($A$5:$A$76,$A55,$F$5:$F$76,$F55)&gt;1)),"больше 1 повышения в цикле у компании; ","")&amp;IF(AND($C55="",ИНФА!$F$5&gt;1),"карточка не используется",""))</f>
        <v/>
      </c>
      <c r="N55" s="44"/>
      <c r="O55" s="44"/>
      <c r="P55" s="44"/>
      <c r="Q55" s="37" t="str">
        <f aca="false">IF(OR($O55="",$P55=""),"",MAX(1,SUMIFS($G$5:$G$76,$A$5:$A$76,$O55,$D$5:$D$76,$P55)))</f>
        <v/>
      </c>
      <c r="R55" s="37" t="str">
        <f aca="false">IF($P55="","",INDEX(ПРОФЕССИИ!$E$5:$E$39,MATCH($P55,ПРОФЕССИИ!$A$5:$A$39,0)))</f>
        <v/>
      </c>
      <c r="S55" s="38" t="str">
        <f aca="false">IF(OR($P55="",$Q55=""),"",INDEX(ПРОФЕССИИ!$F$5:$H$39,MATCH($P55,ПРОФЕССИИ!$A$5:$A$39,0),$Q55))</f>
        <v/>
      </c>
      <c r="T55" s="44"/>
      <c r="U55" s="44"/>
      <c r="V55" s="47" t="str">
        <f aca="false">IF($O55="","",IF(COUNTIFS($N$5:$N$124,$N55,$O$5:$O$124,$O55,$P$5:$P$124,$P55)&gt;1,"повтор в этом цикле!","")&amp;IF(COUNTIFS($A$5:$A$76,$O55,$D$5:$D$76,$P55)=0," такой профессии нет у компании (найм?)",""))</f>
        <v/>
      </c>
      <c r="X55" s="44"/>
      <c r="Y55" s="44"/>
      <c r="Z55" s="44"/>
      <c r="AA55" s="44"/>
      <c r="AB55" s="43"/>
      <c r="AC55" s="44"/>
      <c r="AD55" s="47" t="str">
        <f aca="false">IF($Y55="","",IF(AND($AB55&lt;&gt;"",OR($AB55&lt;ИНФА!$F$34,$AB55&gt;ИНФА!$F$35)),"цена вне 1 000–3 000; ","")&amp;IF(COUNTIFS($X$5:$X$64,$X55,$Y$5:$Y$64,$Y55,$Z$5:$Z$64,$Z55)&gt;1,"специалист — один заказ за цикл; ","")&amp;IF($Y55=$AA55,"продавец и покупатель совпадают",""))</f>
        <v/>
      </c>
    </row>
    <row r="56" customFormat="false" ht="15" hidden="false" customHeight="false" outlineLevel="0" collapsed="false">
      <c r="A56" s="36" t="str">
        <f aca="false">ИНФА!$B$13</f>
        <v>Квант</v>
      </c>
      <c r="B56" s="37" t="n">
        <v>4</v>
      </c>
      <c r="C56" s="44"/>
      <c r="D56" s="44" t="s">
        <v>334</v>
      </c>
      <c r="E56" s="44"/>
      <c r="F56" s="44"/>
      <c r="G56" s="36" t="n">
        <f aca="false">IF($D56="","",1+($E56&lt;&gt;"")+($F56&lt;&gt;""))</f>
        <v>1</v>
      </c>
      <c r="H56" s="38" t="n">
        <f aca="false">IF($D56="","",INDEX(ПРОФЕССИИ!$F$5:$H$39,MATCH($D56,ПРОФЕССИИ!$A$5:$A$39,0),$G56))</f>
        <v>500</v>
      </c>
      <c r="I56" s="37" t="str">
        <f aca="false">IF($D56="","",INDEX(ПРОФЕССИИ!$E$5:$E$39,MATCH($D56,ПРОФЕССИИ!$A$5:$A$39,0)))</f>
        <v>Доход</v>
      </c>
      <c r="J56" s="37" t="str">
        <f aca="false">IF($D56="","",INDEX(ПРОФЕССИИ!$J$5:$J$39,MATCH($D56,ПРОФЕССИИ!$A$5:$A$39,0)))</f>
        <v>Банк (при выплате)</v>
      </c>
      <c r="K56" s="38" t="n">
        <f aca="false">IF($D56="","",($E56&lt;&gt;"")*ИНФА!$F$27+($F56&lt;&gt;"")*ИНФА!$F$28)</f>
        <v>0</v>
      </c>
      <c r="L56" s="47" t="str">
        <f aca="false">IF($D56="","",IF(AND($F56&lt;&gt;"",$E56=""),"сначала уровень 2! ","")&amp;IF(AND($F56&lt;&gt;"",$E56&lt;&gt;"",N($F56)&lt;=N($E56)),"ур. 3 — в более позднем цикле, чем ур. 2! ","")&amp;IF(OR(AND($E56&lt;&gt;"",COUNTIFS($A$5:$A$76,$A56,$E$5:$E$76,$E56)+COUNTIFS($A$5:$A$76,$A56,$F$5:$F$76,$E56)&gt;1),AND($F56&lt;&gt;"",COUNTIFS($A$5:$A$76,$A56,$E$5:$E$76,$F56)+COUNTIFS($A$5:$A$76,$A56,$F$5:$F$76,$F56)&gt;1)),"больше 1 повышения в цикле у компании; ","")&amp;IF(AND($C56="",ИНФА!$F$5&gt;1),"карточка не используется",""))</f>
        <v/>
      </c>
      <c r="N56" s="44"/>
      <c r="O56" s="44"/>
      <c r="P56" s="44"/>
      <c r="Q56" s="37" t="str">
        <f aca="false">IF(OR($O56="",$P56=""),"",MAX(1,SUMIFS($G$5:$G$76,$A$5:$A$76,$O56,$D$5:$D$76,$P56)))</f>
        <v/>
      </c>
      <c r="R56" s="37" t="str">
        <f aca="false">IF($P56="","",INDEX(ПРОФЕССИИ!$E$5:$E$39,MATCH($P56,ПРОФЕССИИ!$A$5:$A$39,0)))</f>
        <v/>
      </c>
      <c r="S56" s="38" t="str">
        <f aca="false">IF(OR($P56="",$Q56=""),"",INDEX(ПРОФЕССИИ!$F$5:$H$39,MATCH($P56,ПРОФЕССИИ!$A$5:$A$39,0),$Q56))</f>
        <v/>
      </c>
      <c r="T56" s="44"/>
      <c r="U56" s="44"/>
      <c r="V56" s="47" t="str">
        <f aca="false">IF($O56="","",IF(COUNTIFS($N$5:$N$124,$N56,$O$5:$O$124,$O56,$P$5:$P$124,$P56)&gt;1,"повтор в этом цикле!","")&amp;IF(COUNTIFS($A$5:$A$76,$O56,$D$5:$D$76,$P56)=0," такой профессии нет у компании (найм?)",""))</f>
        <v/>
      </c>
      <c r="X56" s="44"/>
      <c r="Y56" s="44"/>
      <c r="Z56" s="44"/>
      <c r="AA56" s="44"/>
      <c r="AB56" s="43"/>
      <c r="AC56" s="44"/>
      <c r="AD56" s="47" t="str">
        <f aca="false">IF($Y56="","",IF(AND($AB56&lt;&gt;"",OR($AB56&lt;ИНФА!$F$34,$AB56&gt;ИНФА!$F$35)),"цена вне 1 000–3 000; ","")&amp;IF(COUNTIFS($X$5:$X$64,$X56,$Y$5:$Y$64,$Y56,$Z$5:$Z$64,$Z56)&gt;1,"специалист — один заказ за цикл; ","")&amp;IF($Y56=$AA56,"продавец и покупатель совпадают",""))</f>
        <v/>
      </c>
    </row>
    <row r="57" customFormat="false" ht="15" hidden="false" customHeight="false" outlineLevel="0" collapsed="false">
      <c r="A57" s="36" t="str">
        <f aca="false">ИНФА!$B$13</f>
        <v>Квант</v>
      </c>
      <c r="B57" s="37" t="n">
        <v>5</v>
      </c>
      <c r="C57" s="44"/>
      <c r="D57" s="44" t="s">
        <v>335</v>
      </c>
      <c r="E57" s="44"/>
      <c r="F57" s="44"/>
      <c r="G57" s="36" t="n">
        <f aca="false">IF($D57="","",1+($E57&lt;&gt;"")+($F57&lt;&gt;""))</f>
        <v>1</v>
      </c>
      <c r="H57" s="38" t="n">
        <f aca="false">IF($D57="","",INDEX(ПРОФЕССИИ!$F$5:$H$39,MATCH($D57,ПРОФЕССИИ!$A$5:$A$39,0),$G57))</f>
        <v>500</v>
      </c>
      <c r="I57" s="37" t="str">
        <f aca="false">IF($D57="","",INDEX(ПРОФЕССИИ!$E$5:$E$39,MATCH($D57,ПРОФЕССИИ!$A$5:$A$39,0)))</f>
        <v>Проект</v>
      </c>
      <c r="J57" s="37" t="str">
        <f aca="false">IF($D57="","",INDEX(ПРОФЕССИИ!$J$5:$J$39,MATCH($D57,ПРОФЕССИИ!$A$5:$A$39,0)))</f>
        <v>Гражданские сервисы</v>
      </c>
      <c r="K57" s="38" t="n">
        <f aca="false">IF($D57="","",($E57&lt;&gt;"")*ИНФА!$F$27+($F57&lt;&gt;"")*ИНФА!$F$28)</f>
        <v>0</v>
      </c>
      <c r="L57" s="47" t="str">
        <f aca="false">IF($D57="","",IF(AND($F57&lt;&gt;"",$E57=""),"сначала уровень 2! ","")&amp;IF(AND($F57&lt;&gt;"",$E57&lt;&gt;"",N($F57)&lt;=N($E57)),"ур. 3 — в более позднем цикле, чем ур. 2! ","")&amp;IF(OR(AND($E57&lt;&gt;"",COUNTIFS($A$5:$A$76,$A57,$E$5:$E$76,$E57)+COUNTIFS($A$5:$A$76,$A57,$F$5:$F$76,$E57)&gt;1),AND($F57&lt;&gt;"",COUNTIFS($A$5:$A$76,$A57,$E$5:$E$76,$F57)+COUNTIFS($A$5:$A$76,$A57,$F$5:$F$76,$F57)&gt;1)),"больше 1 повышения в цикле у компании; ","")&amp;IF(AND($C57="",ИНФА!$F$5&gt;1),"карточка не используется",""))</f>
        <v/>
      </c>
      <c r="N57" s="44"/>
      <c r="O57" s="44"/>
      <c r="P57" s="44"/>
      <c r="Q57" s="37" t="str">
        <f aca="false">IF(OR($O57="",$P57=""),"",MAX(1,SUMIFS($G$5:$G$76,$A$5:$A$76,$O57,$D$5:$D$76,$P57)))</f>
        <v/>
      </c>
      <c r="R57" s="37" t="str">
        <f aca="false">IF($P57="","",INDEX(ПРОФЕССИИ!$E$5:$E$39,MATCH($P57,ПРОФЕССИИ!$A$5:$A$39,0)))</f>
        <v/>
      </c>
      <c r="S57" s="38" t="str">
        <f aca="false">IF(OR($P57="",$Q57=""),"",INDEX(ПРОФЕССИИ!$F$5:$H$39,MATCH($P57,ПРОФЕССИИ!$A$5:$A$39,0),$Q57))</f>
        <v/>
      </c>
      <c r="T57" s="44"/>
      <c r="U57" s="44"/>
      <c r="V57" s="47" t="str">
        <f aca="false">IF($O57="","",IF(COUNTIFS($N$5:$N$124,$N57,$O$5:$O$124,$O57,$P$5:$P$124,$P57)&gt;1,"повтор в этом цикле!","")&amp;IF(COUNTIFS($A$5:$A$76,$O57,$D$5:$D$76,$P57)=0," такой профессии нет у компании (найм?)",""))</f>
        <v/>
      </c>
      <c r="X57" s="44"/>
      <c r="Y57" s="44"/>
      <c r="Z57" s="44"/>
      <c r="AA57" s="44"/>
      <c r="AB57" s="43"/>
      <c r="AC57" s="44"/>
      <c r="AD57" s="47" t="str">
        <f aca="false">IF($Y57="","",IF(AND($AB57&lt;&gt;"",OR($AB57&lt;ИНФА!$F$34,$AB57&gt;ИНФА!$F$35)),"цена вне 1 000–3 000; ","")&amp;IF(COUNTIFS($X$5:$X$64,$X57,$Y$5:$Y$64,$Y57,$Z$5:$Z$64,$Z57)&gt;1,"специалист — один заказ за цикл; ","")&amp;IF($Y57=$AA57,"продавец и покупатель совпадают",""))</f>
        <v/>
      </c>
    </row>
    <row r="58" customFormat="false" ht="15" hidden="false" customHeight="false" outlineLevel="0" collapsed="false">
      <c r="A58" s="36" t="str">
        <f aca="false">ИНФА!$B$13</f>
        <v>Квант</v>
      </c>
      <c r="B58" s="37" t="n">
        <v>6</v>
      </c>
      <c r="C58" s="44"/>
      <c r="D58" s="44" t="s">
        <v>336</v>
      </c>
      <c r="E58" s="44"/>
      <c r="F58" s="44"/>
      <c r="G58" s="36" t="n">
        <f aca="false">IF($D58="","",1+($E58&lt;&gt;"")+($F58&lt;&gt;""))</f>
        <v>1</v>
      </c>
      <c r="H58" s="38" t="n">
        <f aca="false">IF($D58="","",INDEX(ПРОФЕССИИ!$F$5:$H$39,MATCH($D58,ПРОФЕССИИ!$A$5:$A$39,0),$G58))</f>
        <v>500</v>
      </c>
      <c r="I58" s="37" t="str">
        <f aca="false">IF($D58="","",INDEX(ПРОФЕССИИ!$E$5:$E$39,MATCH($D58,ПРОФЕССИИ!$A$5:$A$39,0)))</f>
        <v>Штраф</v>
      </c>
      <c r="J58" s="37" t="str">
        <f aca="false">IF($D58="","",INDEX(ПРОФЕССИИ!$J$5:$J$39,MATCH($D58,ПРОФЕССИИ!$A$5:$A$39,0)))</f>
        <v>Гражданские сервисы</v>
      </c>
      <c r="K58" s="38" t="n">
        <f aca="false">IF($D58="","",($E58&lt;&gt;"")*ИНФА!$F$27+($F58&lt;&gt;"")*ИНФА!$F$28)</f>
        <v>0</v>
      </c>
      <c r="L58" s="47" t="str">
        <f aca="false">IF($D58="","",IF(AND($F58&lt;&gt;"",$E58=""),"сначала уровень 2! ","")&amp;IF(AND($F58&lt;&gt;"",$E58&lt;&gt;"",N($F58)&lt;=N($E58)),"ур. 3 — в более позднем цикле, чем ур. 2! ","")&amp;IF(OR(AND($E58&lt;&gt;"",COUNTIFS($A$5:$A$76,$A58,$E$5:$E$76,$E58)+COUNTIFS($A$5:$A$76,$A58,$F$5:$F$76,$E58)&gt;1),AND($F58&lt;&gt;"",COUNTIFS($A$5:$A$76,$A58,$E$5:$E$76,$F58)+COUNTIFS($A$5:$A$76,$A58,$F$5:$F$76,$F58)&gt;1)),"больше 1 повышения в цикле у компании; ","")&amp;IF(AND($C58="",ИНФА!$F$5&gt;1),"карточка не используется",""))</f>
        <v/>
      </c>
      <c r="N58" s="44"/>
      <c r="O58" s="44"/>
      <c r="P58" s="44"/>
      <c r="Q58" s="37" t="str">
        <f aca="false">IF(OR($O58="",$P58=""),"",MAX(1,SUMIFS($G$5:$G$76,$A$5:$A$76,$O58,$D$5:$D$76,$P58)))</f>
        <v/>
      </c>
      <c r="R58" s="37" t="str">
        <f aca="false">IF($P58="","",INDEX(ПРОФЕССИИ!$E$5:$E$39,MATCH($P58,ПРОФЕССИИ!$A$5:$A$39,0)))</f>
        <v/>
      </c>
      <c r="S58" s="38" t="str">
        <f aca="false">IF(OR($P58="",$Q58=""),"",INDEX(ПРОФЕССИИ!$F$5:$H$39,MATCH($P58,ПРОФЕССИИ!$A$5:$A$39,0),$Q58))</f>
        <v/>
      </c>
      <c r="T58" s="44"/>
      <c r="U58" s="44"/>
      <c r="V58" s="47" t="str">
        <f aca="false">IF($O58="","",IF(COUNTIFS($N$5:$N$124,$N58,$O$5:$O$124,$O58,$P$5:$P$124,$P58)&gt;1,"повтор в этом цикле!","")&amp;IF(COUNTIFS($A$5:$A$76,$O58,$D$5:$D$76,$P58)=0," такой профессии нет у компании (найм?)",""))</f>
        <v/>
      </c>
      <c r="X58" s="44"/>
      <c r="Y58" s="44"/>
      <c r="Z58" s="44"/>
      <c r="AA58" s="44"/>
      <c r="AB58" s="43"/>
      <c r="AC58" s="44"/>
      <c r="AD58" s="47" t="str">
        <f aca="false">IF($Y58="","",IF(AND($AB58&lt;&gt;"",OR($AB58&lt;ИНФА!$F$34,$AB58&gt;ИНФА!$F$35)),"цена вне 1 000–3 000; ","")&amp;IF(COUNTIFS($X$5:$X$64,$X58,$Y$5:$Y$64,$Y58,$Z$5:$Z$64,$Z58)&gt;1,"специалист — один заказ за цикл; ","")&amp;IF($Y58=$AA58,"продавец и покупатель совпадают",""))</f>
        <v/>
      </c>
    </row>
    <row r="59" customFormat="false" ht="15" hidden="false" customHeight="false" outlineLevel="0" collapsed="false">
      <c r="A59" s="36" t="str">
        <f aca="false">ИНФА!$B$14</f>
        <v>Полюс</v>
      </c>
      <c r="B59" s="37" t="n">
        <v>1</v>
      </c>
      <c r="C59" s="44"/>
      <c r="D59" s="44" t="s">
        <v>337</v>
      </c>
      <c r="E59" s="44"/>
      <c r="F59" s="44"/>
      <c r="G59" s="36" t="n">
        <f aca="false">IF($D59="","",1+($E59&lt;&gt;"")+($F59&lt;&gt;""))</f>
        <v>1</v>
      </c>
      <c r="H59" s="38" t="n">
        <f aca="false">IF($D59="","",INDEX(ПРОФЕССИИ!$F$5:$H$39,MATCH($D59,ПРОФЕССИИ!$A$5:$A$39,0),$G59))</f>
        <v>500</v>
      </c>
      <c r="I59" s="37" t="str">
        <f aca="false">IF($D59="","",INDEX(ПРОФЕССИИ!$E$5:$E$39,MATCH($D59,ПРОФЕССИИ!$A$5:$A$39,0)))</f>
        <v>Доход</v>
      </c>
      <c r="J59" s="37" t="str">
        <f aca="false">IF($D59="","",INDEX(ПРОФЕССИИ!$J$5:$J$39,MATCH($D59,ПРОФЕССИИ!$A$5:$A$39,0)))</f>
        <v>Банк (при выплате)</v>
      </c>
      <c r="K59" s="38" t="n">
        <f aca="false">IF($D59="","",($E59&lt;&gt;"")*ИНФА!$F$27+($F59&lt;&gt;"")*ИНФА!$F$28)</f>
        <v>0</v>
      </c>
      <c r="L59" s="47" t="str">
        <f aca="false">IF($D59="","",IF(AND($F59&lt;&gt;"",$E59=""),"сначала уровень 2! ","")&amp;IF(AND($F59&lt;&gt;"",$E59&lt;&gt;"",N($F59)&lt;=N($E59)),"ур. 3 — в более позднем цикле, чем ур. 2! ","")&amp;IF(OR(AND($E59&lt;&gt;"",COUNTIFS($A$5:$A$76,$A59,$E$5:$E$76,$E59)+COUNTIFS($A$5:$A$76,$A59,$F$5:$F$76,$E59)&gt;1),AND($F59&lt;&gt;"",COUNTIFS($A$5:$A$76,$A59,$E$5:$E$76,$F59)+COUNTIFS($A$5:$A$76,$A59,$F$5:$F$76,$F59)&gt;1)),"больше 1 повышения в цикле у компании; ","")&amp;IF(AND($C59="",ИНФА!$F$5&gt;1),"карточка не используется",""))</f>
        <v/>
      </c>
      <c r="N59" s="44"/>
      <c r="O59" s="44"/>
      <c r="P59" s="44"/>
      <c r="Q59" s="37" t="str">
        <f aca="false">IF(OR($O59="",$P59=""),"",MAX(1,SUMIFS($G$5:$G$76,$A$5:$A$76,$O59,$D$5:$D$76,$P59)))</f>
        <v/>
      </c>
      <c r="R59" s="37" t="str">
        <f aca="false">IF($P59="","",INDEX(ПРОФЕССИИ!$E$5:$E$39,MATCH($P59,ПРОФЕССИИ!$A$5:$A$39,0)))</f>
        <v/>
      </c>
      <c r="S59" s="38" t="str">
        <f aca="false">IF(OR($P59="",$Q59=""),"",INDEX(ПРОФЕССИИ!$F$5:$H$39,MATCH($P59,ПРОФЕССИИ!$A$5:$A$39,0),$Q59))</f>
        <v/>
      </c>
      <c r="T59" s="44"/>
      <c r="U59" s="44"/>
      <c r="V59" s="47" t="str">
        <f aca="false">IF($O59="","",IF(COUNTIFS($N$5:$N$124,$N59,$O$5:$O$124,$O59,$P$5:$P$124,$P59)&gt;1,"повтор в этом цикле!","")&amp;IF(COUNTIFS($A$5:$A$76,$O59,$D$5:$D$76,$P59)=0," такой профессии нет у компании (найм?)",""))</f>
        <v/>
      </c>
      <c r="X59" s="44"/>
      <c r="Y59" s="44"/>
      <c r="Z59" s="44"/>
      <c r="AA59" s="44"/>
      <c r="AB59" s="43"/>
      <c r="AC59" s="44"/>
      <c r="AD59" s="47" t="str">
        <f aca="false">IF($Y59="","",IF(AND($AB59&lt;&gt;"",OR($AB59&lt;ИНФА!$F$34,$AB59&gt;ИНФА!$F$35)),"цена вне 1 000–3 000; ","")&amp;IF(COUNTIFS($X$5:$X$64,$X59,$Y$5:$Y$64,$Y59,$Z$5:$Z$64,$Z59)&gt;1,"специалист — один заказ за цикл; ","")&amp;IF($Y59=$AA59,"продавец и покупатель совпадают",""))</f>
        <v/>
      </c>
    </row>
    <row r="60" customFormat="false" ht="15" hidden="false" customHeight="false" outlineLevel="0" collapsed="false">
      <c r="A60" s="36" t="str">
        <f aca="false">ИНФА!$B$14</f>
        <v>Полюс</v>
      </c>
      <c r="B60" s="37" t="n">
        <v>2</v>
      </c>
      <c r="C60" s="44"/>
      <c r="D60" s="44" t="s">
        <v>338</v>
      </c>
      <c r="E60" s="44"/>
      <c r="F60" s="44"/>
      <c r="G60" s="36" t="n">
        <f aca="false">IF($D60="","",1+($E60&lt;&gt;"")+($F60&lt;&gt;""))</f>
        <v>1</v>
      </c>
      <c r="H60" s="38" t="n">
        <f aca="false">IF($D60="","",INDEX(ПРОФЕССИИ!$F$5:$H$39,MATCH($D60,ПРОФЕССИИ!$A$5:$A$39,0),$G60))</f>
        <v>500</v>
      </c>
      <c r="I60" s="37" t="str">
        <f aca="false">IF($D60="","",INDEX(ПРОФЕССИИ!$E$5:$E$39,MATCH($D60,ПРОФЕССИИ!$A$5:$A$39,0)))</f>
        <v>Доход</v>
      </c>
      <c r="J60" s="37" t="str">
        <f aca="false">IF($D60="","",INDEX(ПРОФЕССИИ!$J$5:$J$39,MATCH($D60,ПРОФЕССИИ!$A$5:$A$39,0)))</f>
        <v>Банк (при выплате)</v>
      </c>
      <c r="K60" s="38" t="n">
        <f aca="false">IF($D60="","",($E60&lt;&gt;"")*ИНФА!$F$27+($F60&lt;&gt;"")*ИНФА!$F$28)</f>
        <v>0</v>
      </c>
      <c r="L60" s="47" t="str">
        <f aca="false">IF($D60="","",IF(AND($F60&lt;&gt;"",$E60=""),"сначала уровень 2! ","")&amp;IF(AND($F60&lt;&gt;"",$E60&lt;&gt;"",N($F60)&lt;=N($E60)),"ур. 3 — в более позднем цикле, чем ур. 2! ","")&amp;IF(OR(AND($E60&lt;&gt;"",COUNTIFS($A$5:$A$76,$A60,$E$5:$E$76,$E60)+COUNTIFS($A$5:$A$76,$A60,$F$5:$F$76,$E60)&gt;1),AND($F60&lt;&gt;"",COUNTIFS($A$5:$A$76,$A60,$E$5:$E$76,$F60)+COUNTIFS($A$5:$A$76,$A60,$F$5:$F$76,$F60)&gt;1)),"больше 1 повышения в цикле у компании; ","")&amp;IF(AND($C60="",ИНФА!$F$5&gt;1),"карточка не используется",""))</f>
        <v/>
      </c>
      <c r="N60" s="44"/>
      <c r="O60" s="44"/>
      <c r="P60" s="44"/>
      <c r="Q60" s="37" t="str">
        <f aca="false">IF(OR($O60="",$P60=""),"",MAX(1,SUMIFS($G$5:$G$76,$A$5:$A$76,$O60,$D$5:$D$76,$P60)))</f>
        <v/>
      </c>
      <c r="R60" s="37" t="str">
        <f aca="false">IF($P60="","",INDEX(ПРОФЕССИИ!$E$5:$E$39,MATCH($P60,ПРОФЕССИИ!$A$5:$A$39,0)))</f>
        <v/>
      </c>
      <c r="S60" s="38" t="str">
        <f aca="false">IF(OR($P60="",$Q60=""),"",INDEX(ПРОФЕССИИ!$F$5:$H$39,MATCH($P60,ПРОФЕССИИ!$A$5:$A$39,0),$Q60))</f>
        <v/>
      </c>
      <c r="T60" s="44"/>
      <c r="U60" s="44"/>
      <c r="V60" s="47" t="str">
        <f aca="false">IF($O60="","",IF(COUNTIFS($N$5:$N$124,$N60,$O$5:$O$124,$O60,$P$5:$P$124,$P60)&gt;1,"повтор в этом цикле!","")&amp;IF(COUNTIFS($A$5:$A$76,$O60,$D$5:$D$76,$P60)=0," такой профессии нет у компании (найм?)",""))</f>
        <v/>
      </c>
      <c r="X60" s="44"/>
      <c r="Y60" s="44"/>
      <c r="Z60" s="44"/>
      <c r="AA60" s="44"/>
      <c r="AB60" s="43"/>
      <c r="AC60" s="44"/>
      <c r="AD60" s="47" t="str">
        <f aca="false">IF($Y60="","",IF(AND($AB60&lt;&gt;"",OR($AB60&lt;ИНФА!$F$34,$AB60&gt;ИНФА!$F$35)),"цена вне 1 000–3 000; ","")&amp;IF(COUNTIFS($X$5:$X$64,$X60,$Y$5:$Y$64,$Y60,$Z$5:$Z$64,$Z60)&gt;1,"специалист — один заказ за цикл; ","")&amp;IF($Y60=$AA60,"продавец и покупатель совпадают",""))</f>
        <v/>
      </c>
    </row>
    <row r="61" customFormat="false" ht="15" hidden="false" customHeight="false" outlineLevel="0" collapsed="false">
      <c r="A61" s="36" t="str">
        <f aca="false">ИНФА!$B$14</f>
        <v>Полюс</v>
      </c>
      <c r="B61" s="37" t="n">
        <v>3</v>
      </c>
      <c r="C61" s="44"/>
      <c r="D61" s="44" t="s">
        <v>339</v>
      </c>
      <c r="E61" s="44"/>
      <c r="F61" s="44"/>
      <c r="G61" s="36" t="n">
        <f aca="false">IF($D61="","",1+($E61&lt;&gt;"")+($F61&lt;&gt;""))</f>
        <v>1</v>
      </c>
      <c r="H61" s="38" t="n">
        <f aca="false">IF($D61="","",INDEX(ПРОФЕССИИ!$F$5:$H$39,MATCH($D61,ПРОФЕССИИ!$A$5:$A$39,0),$G61))</f>
        <v>500</v>
      </c>
      <c r="I61" s="37" t="str">
        <f aca="false">IF($D61="","",INDEX(ПРОФЕССИИ!$E$5:$E$39,MATCH($D61,ПРОФЕССИИ!$A$5:$A$39,0)))</f>
        <v>Скидка</v>
      </c>
      <c r="J61" s="37" t="str">
        <f aca="false">IF($D61="","",INDEX(ПРОФЕССИИ!$J$5:$J$39,MATCH($D61,ПРОФЕССИИ!$A$5:$A$39,0)))</f>
        <v>Инфраструктура</v>
      </c>
      <c r="K61" s="38" t="n">
        <f aca="false">IF($D61="","",($E61&lt;&gt;"")*ИНФА!$F$27+($F61&lt;&gt;"")*ИНФА!$F$28)</f>
        <v>0</v>
      </c>
      <c r="L61" s="47" t="str">
        <f aca="false">IF($D61="","",IF(AND($F61&lt;&gt;"",$E61=""),"сначала уровень 2! ","")&amp;IF(AND($F61&lt;&gt;"",$E61&lt;&gt;"",N($F61)&lt;=N($E61)),"ур. 3 — в более позднем цикле, чем ур. 2! ","")&amp;IF(OR(AND($E61&lt;&gt;"",COUNTIFS($A$5:$A$76,$A61,$E$5:$E$76,$E61)+COUNTIFS($A$5:$A$76,$A61,$F$5:$F$76,$E61)&gt;1),AND($F61&lt;&gt;"",COUNTIFS($A$5:$A$76,$A61,$E$5:$E$76,$F61)+COUNTIFS($A$5:$A$76,$A61,$F$5:$F$76,$F61)&gt;1)),"больше 1 повышения в цикле у компании; ","")&amp;IF(AND($C61="",ИНФА!$F$5&gt;1),"карточка не используется",""))</f>
        <v/>
      </c>
      <c r="N61" s="44"/>
      <c r="O61" s="44"/>
      <c r="P61" s="44"/>
      <c r="Q61" s="37" t="str">
        <f aca="false">IF(OR($O61="",$P61=""),"",MAX(1,SUMIFS($G$5:$G$76,$A$5:$A$76,$O61,$D$5:$D$76,$P61)))</f>
        <v/>
      </c>
      <c r="R61" s="37" t="str">
        <f aca="false">IF($P61="","",INDEX(ПРОФЕССИИ!$E$5:$E$39,MATCH($P61,ПРОФЕССИИ!$A$5:$A$39,0)))</f>
        <v/>
      </c>
      <c r="S61" s="38" t="str">
        <f aca="false">IF(OR($P61="",$Q61=""),"",INDEX(ПРОФЕССИИ!$F$5:$H$39,MATCH($P61,ПРОФЕССИИ!$A$5:$A$39,0),$Q61))</f>
        <v/>
      </c>
      <c r="T61" s="44"/>
      <c r="U61" s="44"/>
      <c r="V61" s="47" t="str">
        <f aca="false">IF($O61="","",IF(COUNTIFS($N$5:$N$124,$N61,$O$5:$O$124,$O61,$P$5:$P$124,$P61)&gt;1,"повтор в этом цикле!","")&amp;IF(COUNTIFS($A$5:$A$76,$O61,$D$5:$D$76,$P61)=0," такой профессии нет у компании (найм?)",""))</f>
        <v/>
      </c>
      <c r="X61" s="44"/>
      <c r="Y61" s="44"/>
      <c r="Z61" s="44"/>
      <c r="AA61" s="44"/>
      <c r="AB61" s="43"/>
      <c r="AC61" s="44"/>
      <c r="AD61" s="47" t="str">
        <f aca="false">IF($Y61="","",IF(AND($AB61&lt;&gt;"",OR($AB61&lt;ИНФА!$F$34,$AB61&gt;ИНФА!$F$35)),"цена вне 1 000–3 000; ","")&amp;IF(COUNTIFS($X$5:$X$64,$X61,$Y$5:$Y$64,$Y61,$Z$5:$Z$64,$Z61)&gt;1,"специалист — один заказ за цикл; ","")&amp;IF($Y61=$AA61,"продавец и покупатель совпадают",""))</f>
        <v/>
      </c>
    </row>
    <row r="62" customFormat="false" ht="15" hidden="false" customHeight="false" outlineLevel="0" collapsed="false">
      <c r="A62" s="36" t="str">
        <f aca="false">ИНФА!$B$14</f>
        <v>Полюс</v>
      </c>
      <c r="B62" s="37" t="n">
        <v>4</v>
      </c>
      <c r="C62" s="44"/>
      <c r="D62" s="44" t="s">
        <v>340</v>
      </c>
      <c r="E62" s="44"/>
      <c r="F62" s="44"/>
      <c r="G62" s="36" t="n">
        <f aca="false">IF($D62="","",1+($E62&lt;&gt;"")+($F62&lt;&gt;""))</f>
        <v>1</v>
      </c>
      <c r="H62" s="38" t="n">
        <f aca="false">IF($D62="","",INDEX(ПРОФЕССИИ!$F$5:$H$39,MATCH($D62,ПРОФЕССИИ!$A$5:$A$39,0),$G62))</f>
        <v>500</v>
      </c>
      <c r="I62" s="37" t="str">
        <f aca="false">IF($D62="","",INDEX(ПРОФЕССИИ!$E$5:$E$39,MATCH($D62,ПРОФЕССИИ!$A$5:$A$39,0)))</f>
        <v>Доход</v>
      </c>
      <c r="J62" s="37" t="str">
        <f aca="false">IF($D62="","",INDEX(ПРОФЕССИИ!$J$5:$J$39,MATCH($D62,ПРОФЕССИИ!$A$5:$A$39,0)))</f>
        <v>Банк (при выплате)</v>
      </c>
      <c r="K62" s="38" t="n">
        <f aca="false">IF($D62="","",($E62&lt;&gt;"")*ИНФА!$F$27+($F62&lt;&gt;"")*ИНФА!$F$28)</f>
        <v>0</v>
      </c>
      <c r="L62" s="47" t="str">
        <f aca="false">IF($D62="","",IF(AND($F62&lt;&gt;"",$E62=""),"сначала уровень 2! ","")&amp;IF(AND($F62&lt;&gt;"",$E62&lt;&gt;"",N($F62)&lt;=N($E62)),"ур. 3 — в более позднем цикле, чем ур. 2! ","")&amp;IF(OR(AND($E62&lt;&gt;"",COUNTIFS($A$5:$A$76,$A62,$E$5:$E$76,$E62)+COUNTIFS($A$5:$A$76,$A62,$F$5:$F$76,$E62)&gt;1),AND($F62&lt;&gt;"",COUNTIFS($A$5:$A$76,$A62,$E$5:$E$76,$F62)+COUNTIFS($A$5:$A$76,$A62,$F$5:$F$76,$F62)&gt;1)),"больше 1 повышения в цикле у компании; ","")&amp;IF(AND($C62="",ИНФА!$F$5&gt;1),"карточка не используется",""))</f>
        <v/>
      </c>
      <c r="N62" s="44"/>
      <c r="O62" s="44"/>
      <c r="P62" s="44"/>
      <c r="Q62" s="37" t="str">
        <f aca="false">IF(OR($O62="",$P62=""),"",MAX(1,SUMIFS($G$5:$G$76,$A$5:$A$76,$O62,$D$5:$D$76,$P62)))</f>
        <v/>
      </c>
      <c r="R62" s="37" t="str">
        <f aca="false">IF($P62="","",INDEX(ПРОФЕССИИ!$E$5:$E$39,MATCH($P62,ПРОФЕССИИ!$A$5:$A$39,0)))</f>
        <v/>
      </c>
      <c r="S62" s="38" t="str">
        <f aca="false">IF(OR($P62="",$Q62=""),"",INDEX(ПРОФЕССИИ!$F$5:$H$39,MATCH($P62,ПРОФЕССИИ!$A$5:$A$39,0),$Q62))</f>
        <v/>
      </c>
      <c r="T62" s="44"/>
      <c r="U62" s="44"/>
      <c r="V62" s="47" t="str">
        <f aca="false">IF($O62="","",IF(COUNTIFS($N$5:$N$124,$N62,$O$5:$O$124,$O62,$P$5:$P$124,$P62)&gt;1,"повтор в этом цикле!","")&amp;IF(COUNTIFS($A$5:$A$76,$O62,$D$5:$D$76,$P62)=0," такой профессии нет у компании (найм?)",""))</f>
        <v/>
      </c>
      <c r="X62" s="44"/>
      <c r="Y62" s="44"/>
      <c r="Z62" s="44"/>
      <c r="AA62" s="44"/>
      <c r="AB62" s="43"/>
      <c r="AC62" s="44"/>
      <c r="AD62" s="47" t="str">
        <f aca="false">IF($Y62="","",IF(AND($AB62&lt;&gt;"",OR($AB62&lt;ИНФА!$F$34,$AB62&gt;ИНФА!$F$35)),"цена вне 1 000–3 000; ","")&amp;IF(COUNTIFS($X$5:$X$64,$X62,$Y$5:$Y$64,$Y62,$Z$5:$Z$64,$Z62)&gt;1,"специалист — один заказ за цикл; ","")&amp;IF($Y62=$AA62,"продавец и покупатель совпадают",""))</f>
        <v/>
      </c>
    </row>
    <row r="63" customFormat="false" ht="15" hidden="false" customHeight="false" outlineLevel="0" collapsed="false">
      <c r="A63" s="36" t="str">
        <f aca="false">ИНФА!$B$14</f>
        <v>Полюс</v>
      </c>
      <c r="B63" s="37" t="n">
        <v>5</v>
      </c>
      <c r="C63" s="44"/>
      <c r="D63" s="44" t="s">
        <v>341</v>
      </c>
      <c r="E63" s="44"/>
      <c r="F63" s="44"/>
      <c r="G63" s="36" t="n">
        <f aca="false">IF($D63="","",1+($E63&lt;&gt;"")+($F63&lt;&gt;""))</f>
        <v>1</v>
      </c>
      <c r="H63" s="38" t="n">
        <f aca="false">IF($D63="","",INDEX(ПРОФЕССИИ!$F$5:$H$39,MATCH($D63,ПРОФЕССИИ!$A$5:$A$39,0),$G63))</f>
        <v>500</v>
      </c>
      <c r="I63" s="37" t="str">
        <f aca="false">IF($D63="","",INDEX(ПРОФЕССИИ!$E$5:$E$39,MATCH($D63,ПРОФЕССИИ!$A$5:$A$39,0)))</f>
        <v>Проект</v>
      </c>
      <c r="J63" s="37" t="str">
        <f aca="false">IF($D63="","",INDEX(ПРОФЕССИИ!$J$5:$J$39,MATCH($D63,ПРОФЕССИИ!$A$5:$A$39,0)))</f>
        <v>Гражданские сервисы</v>
      </c>
      <c r="K63" s="38" t="n">
        <f aca="false">IF($D63="","",($E63&lt;&gt;"")*ИНФА!$F$27+($F63&lt;&gt;"")*ИНФА!$F$28)</f>
        <v>0</v>
      </c>
      <c r="L63" s="47" t="str">
        <f aca="false">IF($D63="","",IF(AND($F63&lt;&gt;"",$E63=""),"сначала уровень 2! ","")&amp;IF(AND($F63&lt;&gt;"",$E63&lt;&gt;"",N($F63)&lt;=N($E63)),"ур. 3 — в более позднем цикле, чем ур. 2! ","")&amp;IF(OR(AND($E63&lt;&gt;"",COUNTIFS($A$5:$A$76,$A63,$E$5:$E$76,$E63)+COUNTIFS($A$5:$A$76,$A63,$F$5:$F$76,$E63)&gt;1),AND($F63&lt;&gt;"",COUNTIFS($A$5:$A$76,$A63,$E$5:$E$76,$F63)+COUNTIFS($A$5:$A$76,$A63,$F$5:$F$76,$F63)&gt;1)),"больше 1 повышения в цикле у компании; ","")&amp;IF(AND($C63="",ИНФА!$F$5&gt;1),"карточка не используется",""))</f>
        <v/>
      </c>
      <c r="N63" s="44"/>
      <c r="O63" s="44"/>
      <c r="P63" s="44"/>
      <c r="Q63" s="37" t="str">
        <f aca="false">IF(OR($O63="",$P63=""),"",MAX(1,SUMIFS($G$5:$G$76,$A$5:$A$76,$O63,$D$5:$D$76,$P63)))</f>
        <v/>
      </c>
      <c r="R63" s="37" t="str">
        <f aca="false">IF($P63="","",INDEX(ПРОФЕССИИ!$E$5:$E$39,MATCH($P63,ПРОФЕССИИ!$A$5:$A$39,0)))</f>
        <v/>
      </c>
      <c r="S63" s="38" t="str">
        <f aca="false">IF(OR($P63="",$Q63=""),"",INDEX(ПРОФЕССИИ!$F$5:$H$39,MATCH($P63,ПРОФЕССИИ!$A$5:$A$39,0),$Q63))</f>
        <v/>
      </c>
      <c r="T63" s="44"/>
      <c r="U63" s="44"/>
      <c r="V63" s="47" t="str">
        <f aca="false">IF($O63="","",IF(COUNTIFS($N$5:$N$124,$N63,$O$5:$O$124,$O63,$P$5:$P$124,$P63)&gt;1,"повтор в этом цикле!","")&amp;IF(COUNTIFS($A$5:$A$76,$O63,$D$5:$D$76,$P63)=0," такой профессии нет у компании (найм?)",""))</f>
        <v/>
      </c>
      <c r="X63" s="44"/>
      <c r="Y63" s="44"/>
      <c r="Z63" s="44"/>
      <c r="AA63" s="44"/>
      <c r="AB63" s="43"/>
      <c r="AC63" s="44"/>
      <c r="AD63" s="47" t="str">
        <f aca="false">IF($Y63="","",IF(AND($AB63&lt;&gt;"",OR($AB63&lt;ИНФА!$F$34,$AB63&gt;ИНФА!$F$35)),"цена вне 1 000–3 000; ","")&amp;IF(COUNTIFS($X$5:$X$64,$X63,$Y$5:$Y$64,$Y63,$Z$5:$Z$64,$Z63)&gt;1,"специалист — один заказ за цикл; ","")&amp;IF($Y63=$AA63,"продавец и покупатель совпадают",""))</f>
        <v/>
      </c>
    </row>
    <row r="64" customFormat="false" ht="15" hidden="false" customHeight="false" outlineLevel="0" collapsed="false">
      <c r="A64" s="36" t="str">
        <f aca="false">ИНФА!$B$14</f>
        <v>Полюс</v>
      </c>
      <c r="B64" s="37" t="n">
        <v>6</v>
      </c>
      <c r="C64" s="44"/>
      <c r="D64" s="44" t="s">
        <v>342</v>
      </c>
      <c r="E64" s="44"/>
      <c r="F64" s="44"/>
      <c r="G64" s="36" t="n">
        <f aca="false">IF($D64="","",1+($E64&lt;&gt;"")+($F64&lt;&gt;""))</f>
        <v>1</v>
      </c>
      <c r="H64" s="38" t="n">
        <f aca="false">IF($D64="","",INDEX(ПРОФЕССИИ!$F$5:$H$39,MATCH($D64,ПРОФЕССИИ!$A$5:$A$39,0),$G64))</f>
        <v>500</v>
      </c>
      <c r="I64" s="37" t="str">
        <f aca="false">IF($D64="","",INDEX(ПРОФЕССИИ!$E$5:$E$39,MATCH($D64,ПРОФЕССИИ!$A$5:$A$39,0)))</f>
        <v>Штраф</v>
      </c>
      <c r="J64" s="37" t="str">
        <f aca="false">IF($D64="","",INDEX(ПРОФЕССИИ!$J$5:$J$39,MATCH($D64,ПРОФЕССИИ!$A$5:$A$39,0)))</f>
        <v>Гражданские сервисы</v>
      </c>
      <c r="K64" s="38" t="n">
        <f aca="false">IF($D64="","",($E64&lt;&gt;"")*ИНФА!$F$27+($F64&lt;&gt;"")*ИНФА!$F$28)</f>
        <v>0</v>
      </c>
      <c r="L64" s="47" t="str">
        <f aca="false">IF($D64="","",IF(AND($F64&lt;&gt;"",$E64=""),"сначала уровень 2! ","")&amp;IF(AND($F64&lt;&gt;"",$E64&lt;&gt;"",N($F64)&lt;=N($E64)),"ур. 3 — в более позднем цикле, чем ур. 2! ","")&amp;IF(OR(AND($E64&lt;&gt;"",COUNTIFS($A$5:$A$76,$A64,$E$5:$E$76,$E64)+COUNTIFS($A$5:$A$76,$A64,$F$5:$F$76,$E64)&gt;1),AND($F64&lt;&gt;"",COUNTIFS($A$5:$A$76,$A64,$E$5:$E$76,$F64)+COUNTIFS($A$5:$A$76,$A64,$F$5:$F$76,$F64)&gt;1)),"больше 1 повышения в цикле у компании; ","")&amp;IF(AND($C64="",ИНФА!$F$5&gt;1),"карточка не используется",""))</f>
        <v/>
      </c>
      <c r="N64" s="44"/>
      <c r="O64" s="44"/>
      <c r="P64" s="44"/>
      <c r="Q64" s="37" t="str">
        <f aca="false">IF(OR($O64="",$P64=""),"",MAX(1,SUMIFS($G$5:$G$76,$A$5:$A$76,$O64,$D$5:$D$76,$P64)))</f>
        <v/>
      </c>
      <c r="R64" s="37" t="str">
        <f aca="false">IF($P64="","",INDEX(ПРОФЕССИИ!$E$5:$E$39,MATCH($P64,ПРОФЕССИИ!$A$5:$A$39,0)))</f>
        <v/>
      </c>
      <c r="S64" s="38" t="str">
        <f aca="false">IF(OR($P64="",$Q64=""),"",INDEX(ПРОФЕССИИ!$F$5:$H$39,MATCH($P64,ПРОФЕССИИ!$A$5:$A$39,0),$Q64))</f>
        <v/>
      </c>
      <c r="T64" s="44"/>
      <c r="U64" s="44"/>
      <c r="V64" s="47" t="str">
        <f aca="false">IF($O64="","",IF(COUNTIFS($N$5:$N$124,$N64,$O$5:$O$124,$O64,$P$5:$P$124,$P64)&gt;1,"повтор в этом цикле!","")&amp;IF(COUNTIFS($A$5:$A$76,$O64,$D$5:$D$76,$P64)=0," такой профессии нет у компании (найм?)",""))</f>
        <v/>
      </c>
      <c r="X64" s="44"/>
      <c r="Y64" s="44"/>
      <c r="Z64" s="44"/>
      <c r="AA64" s="44"/>
      <c r="AB64" s="43"/>
      <c r="AC64" s="44"/>
      <c r="AD64" s="47" t="str">
        <f aca="false">IF($Y64="","",IF(AND($AB64&lt;&gt;"",OR($AB64&lt;ИНФА!$F$34,$AB64&gt;ИНФА!$F$35)),"цена вне 1 000–3 000; ","")&amp;IF(COUNTIFS($X$5:$X$64,$X64,$Y$5:$Y$64,$Y64,$Z$5:$Z$64,$Z64)&gt;1,"специалист — один заказ за цикл; ","")&amp;IF($Y64=$AA64,"продавец и покупатель совпадают",""))</f>
        <v/>
      </c>
    </row>
    <row r="65" customFormat="false" ht="15" hidden="false" customHeight="false" outlineLevel="0" collapsed="false">
      <c r="A65" s="36" t="str">
        <f aca="false">ИНФА!$B$15</f>
        <v>Новатор</v>
      </c>
      <c r="B65" s="37" t="n">
        <v>1</v>
      </c>
      <c r="C65" s="44"/>
      <c r="D65" s="44" t="s">
        <v>343</v>
      </c>
      <c r="E65" s="44"/>
      <c r="F65" s="44"/>
      <c r="G65" s="36" t="n">
        <f aca="false">IF($D65="","",1+($E65&lt;&gt;"")+($F65&lt;&gt;""))</f>
        <v>1</v>
      </c>
      <c r="H65" s="38" t="n">
        <f aca="false">IF($D65="","",INDEX(ПРОФЕССИИ!$F$5:$H$39,MATCH($D65,ПРОФЕССИИ!$A$5:$A$39,0),$G65))</f>
        <v>500</v>
      </c>
      <c r="I65" s="37" t="str">
        <f aca="false">IF($D65="","",INDEX(ПРОФЕССИИ!$E$5:$E$39,MATCH($D65,ПРОФЕССИИ!$A$5:$A$39,0)))</f>
        <v>Доход</v>
      </c>
      <c r="J65" s="37" t="str">
        <f aca="false">IF($D65="","",INDEX(ПРОФЕССИИ!$J$5:$J$39,MATCH($D65,ПРОФЕССИИ!$A$5:$A$39,0)))</f>
        <v>Банк (при выплате)</v>
      </c>
      <c r="K65" s="38" t="n">
        <f aca="false">IF($D65="","",($E65&lt;&gt;"")*ИНФА!$F$27+($F65&lt;&gt;"")*ИНФА!$F$28)</f>
        <v>0</v>
      </c>
      <c r="L65" s="47" t="str">
        <f aca="false">IF($D65="","",IF(AND($F65&lt;&gt;"",$E65=""),"сначала уровень 2! ","")&amp;IF(AND($F65&lt;&gt;"",$E65&lt;&gt;"",N($F65)&lt;=N($E65)),"ур. 3 — в более позднем цикле, чем ур. 2! ","")&amp;IF(OR(AND($E65&lt;&gt;"",COUNTIFS($A$5:$A$76,$A65,$E$5:$E$76,$E65)+COUNTIFS($A$5:$A$76,$A65,$F$5:$F$76,$E65)&gt;1),AND($F65&lt;&gt;"",COUNTIFS($A$5:$A$76,$A65,$E$5:$E$76,$F65)+COUNTIFS($A$5:$A$76,$A65,$F$5:$F$76,$F65)&gt;1)),"больше 1 повышения в цикле у компании; ","")&amp;IF(AND($C65="",ИНФА!$F$5&gt;1),"карточка не используется",""))</f>
        <v/>
      </c>
      <c r="N65" s="44"/>
      <c r="O65" s="44"/>
      <c r="P65" s="44"/>
      <c r="Q65" s="37" t="str">
        <f aca="false">IF(OR($O65="",$P65=""),"",MAX(1,SUMIFS($G$5:$G$76,$A$5:$A$76,$O65,$D$5:$D$76,$P65)))</f>
        <v/>
      </c>
      <c r="R65" s="37" t="str">
        <f aca="false">IF($P65="","",INDEX(ПРОФЕССИИ!$E$5:$E$39,MATCH($P65,ПРОФЕССИИ!$A$5:$A$39,0)))</f>
        <v/>
      </c>
      <c r="S65" s="38" t="str">
        <f aca="false">IF(OR($P65="",$Q65=""),"",INDEX(ПРОФЕССИИ!$F$5:$H$39,MATCH($P65,ПРОФЕССИИ!$A$5:$A$39,0),$Q65))</f>
        <v/>
      </c>
      <c r="T65" s="44"/>
      <c r="U65" s="44"/>
      <c r="V65" s="47" t="str">
        <f aca="false">IF($O65="","",IF(COUNTIFS($N$5:$N$124,$N65,$O$5:$O$124,$O65,$P$5:$P$124,$P65)&gt;1,"повтор в этом цикле!","")&amp;IF(COUNTIFS($A$5:$A$76,$O65,$D$5:$D$76,$P65)=0," такой профессии нет у компании (найм?)",""))</f>
        <v/>
      </c>
    </row>
    <row r="66" customFormat="false" ht="15" hidden="false" customHeight="false" outlineLevel="0" collapsed="false">
      <c r="A66" s="36" t="str">
        <f aca="false">ИНФА!$B$15</f>
        <v>Новатор</v>
      </c>
      <c r="B66" s="37" t="n">
        <v>2</v>
      </c>
      <c r="C66" s="44"/>
      <c r="D66" s="44" t="s">
        <v>344</v>
      </c>
      <c r="E66" s="44"/>
      <c r="F66" s="44"/>
      <c r="G66" s="36" t="n">
        <f aca="false">IF($D66="","",1+($E66&lt;&gt;"")+($F66&lt;&gt;""))</f>
        <v>1</v>
      </c>
      <c r="H66" s="38" t="n">
        <f aca="false">IF($D66="","",INDEX(ПРОФЕССИИ!$F$5:$H$39,MATCH($D66,ПРОФЕССИИ!$A$5:$A$39,0),$G66))</f>
        <v>500</v>
      </c>
      <c r="I66" s="37" t="str">
        <f aca="false">IF($D66="","",INDEX(ПРОФЕССИИ!$E$5:$E$39,MATCH($D66,ПРОФЕССИИ!$A$5:$A$39,0)))</f>
        <v>Кредит</v>
      </c>
      <c r="J66" s="37" t="str">
        <f aca="false">IF($D66="","",INDEX(ПРОФЕССИИ!$J$5:$J$39,MATCH($D66,ПРОФЕССИИ!$A$5:$A$39,0)))</f>
        <v>Банк</v>
      </c>
      <c r="K66" s="38" t="n">
        <f aca="false">IF($D66="","",($E66&lt;&gt;"")*ИНФА!$F$27+($F66&lt;&gt;"")*ИНФА!$F$28)</f>
        <v>0</v>
      </c>
      <c r="L66" s="47" t="str">
        <f aca="false">IF($D66="","",IF(AND($F66&lt;&gt;"",$E66=""),"сначала уровень 2! ","")&amp;IF(AND($F66&lt;&gt;"",$E66&lt;&gt;"",N($F66)&lt;=N($E66)),"ур. 3 — в более позднем цикле, чем ур. 2! ","")&amp;IF(OR(AND($E66&lt;&gt;"",COUNTIFS($A$5:$A$76,$A66,$E$5:$E$76,$E66)+COUNTIFS($A$5:$A$76,$A66,$F$5:$F$76,$E66)&gt;1),AND($F66&lt;&gt;"",COUNTIFS($A$5:$A$76,$A66,$E$5:$E$76,$F66)+COUNTIFS($A$5:$A$76,$A66,$F$5:$F$76,$F66)&gt;1)),"больше 1 повышения в цикле у компании; ","")&amp;IF(AND($C66="",ИНФА!$F$5&gt;1),"карточка не используется",""))</f>
        <v/>
      </c>
      <c r="N66" s="44"/>
      <c r="O66" s="44"/>
      <c r="P66" s="44"/>
      <c r="Q66" s="37" t="str">
        <f aca="false">IF(OR($O66="",$P66=""),"",MAX(1,SUMIFS($G$5:$G$76,$A$5:$A$76,$O66,$D$5:$D$76,$P66)))</f>
        <v/>
      </c>
      <c r="R66" s="37" t="str">
        <f aca="false">IF($P66="","",INDEX(ПРОФЕССИИ!$E$5:$E$39,MATCH($P66,ПРОФЕССИИ!$A$5:$A$39,0)))</f>
        <v/>
      </c>
      <c r="S66" s="38" t="str">
        <f aca="false">IF(OR($P66="",$Q66=""),"",INDEX(ПРОФЕССИИ!$F$5:$H$39,MATCH($P66,ПРОФЕССИИ!$A$5:$A$39,0),$Q66))</f>
        <v/>
      </c>
      <c r="T66" s="44"/>
      <c r="U66" s="44"/>
      <c r="V66" s="47" t="str">
        <f aca="false">IF($O66="","",IF(COUNTIFS($N$5:$N$124,$N66,$O$5:$O$124,$O66,$P$5:$P$124,$P66)&gt;1,"повтор в этом цикле!","")&amp;IF(COUNTIFS($A$5:$A$76,$O66,$D$5:$D$76,$P66)=0," такой профессии нет у компании (найм?)",""))</f>
        <v/>
      </c>
    </row>
    <row r="67" customFormat="false" ht="15" hidden="false" customHeight="false" outlineLevel="0" collapsed="false">
      <c r="A67" s="36" t="str">
        <f aca="false">ИНФА!$B$15</f>
        <v>Новатор</v>
      </c>
      <c r="B67" s="37" t="n">
        <v>3</v>
      </c>
      <c r="C67" s="44"/>
      <c r="D67" s="44" t="s">
        <v>345</v>
      </c>
      <c r="E67" s="44"/>
      <c r="F67" s="44"/>
      <c r="G67" s="36" t="n">
        <f aca="false">IF($D67="","",1+($E67&lt;&gt;"")+($F67&lt;&gt;""))</f>
        <v>1</v>
      </c>
      <c r="H67" s="38" t="n">
        <f aca="false">IF($D67="","",INDEX(ПРОФЕССИИ!$F$5:$H$39,MATCH($D67,ПРОФЕССИИ!$A$5:$A$39,0),$G67))</f>
        <v>500</v>
      </c>
      <c r="I67" s="37" t="str">
        <f aca="false">IF($D67="","",INDEX(ПРОФЕССИИ!$E$5:$E$39,MATCH($D67,ПРОФЕССИИ!$A$5:$A$39,0)))</f>
        <v>Доход</v>
      </c>
      <c r="J67" s="37" t="str">
        <f aca="false">IF($D67="","",INDEX(ПРОФЕССИИ!$J$5:$J$39,MATCH($D67,ПРОФЕССИИ!$A$5:$A$39,0)))</f>
        <v>Банк (при выплате)</v>
      </c>
      <c r="K67" s="38" t="n">
        <f aca="false">IF($D67="","",($E67&lt;&gt;"")*ИНФА!$F$27+($F67&lt;&gt;"")*ИНФА!$F$28)</f>
        <v>0</v>
      </c>
      <c r="L67" s="47" t="str">
        <f aca="false">IF($D67="","",IF(AND($F67&lt;&gt;"",$E67=""),"сначала уровень 2! ","")&amp;IF(AND($F67&lt;&gt;"",$E67&lt;&gt;"",N($F67)&lt;=N($E67)),"ур. 3 — в более позднем цикле, чем ур. 2! ","")&amp;IF(OR(AND($E67&lt;&gt;"",COUNTIFS($A$5:$A$76,$A67,$E$5:$E$76,$E67)+COUNTIFS($A$5:$A$76,$A67,$F$5:$F$76,$E67)&gt;1),AND($F67&lt;&gt;"",COUNTIFS($A$5:$A$76,$A67,$E$5:$E$76,$F67)+COUNTIFS($A$5:$A$76,$A67,$F$5:$F$76,$F67)&gt;1)),"больше 1 повышения в цикле у компании; ","")&amp;IF(AND($C67="",ИНФА!$F$5&gt;1),"карточка не используется",""))</f>
        <v/>
      </c>
      <c r="N67" s="44"/>
      <c r="O67" s="44"/>
      <c r="P67" s="44"/>
      <c r="Q67" s="37" t="str">
        <f aca="false">IF(OR($O67="",$P67=""),"",MAX(1,SUMIFS($G$5:$G$76,$A$5:$A$76,$O67,$D$5:$D$76,$P67)))</f>
        <v/>
      </c>
      <c r="R67" s="37" t="str">
        <f aca="false">IF($P67="","",INDEX(ПРОФЕССИИ!$E$5:$E$39,MATCH($P67,ПРОФЕССИИ!$A$5:$A$39,0)))</f>
        <v/>
      </c>
      <c r="S67" s="38" t="str">
        <f aca="false">IF(OR($P67="",$Q67=""),"",INDEX(ПРОФЕССИИ!$F$5:$H$39,MATCH($P67,ПРОФЕССИИ!$A$5:$A$39,0),$Q67))</f>
        <v/>
      </c>
      <c r="T67" s="44"/>
      <c r="U67" s="44"/>
      <c r="V67" s="47" t="str">
        <f aca="false">IF($O67="","",IF(COUNTIFS($N$5:$N$124,$N67,$O$5:$O$124,$O67,$P$5:$P$124,$P67)&gt;1,"повтор в этом цикле!","")&amp;IF(COUNTIFS($A$5:$A$76,$O67,$D$5:$D$76,$P67)=0," такой профессии нет у компании (найм?)",""))</f>
        <v/>
      </c>
    </row>
    <row r="68" customFormat="false" ht="15" hidden="false" customHeight="false" outlineLevel="0" collapsed="false">
      <c r="A68" s="36" t="str">
        <f aca="false">ИНФА!$B$15</f>
        <v>Новатор</v>
      </c>
      <c r="B68" s="37" t="n">
        <v>4</v>
      </c>
      <c r="C68" s="44"/>
      <c r="D68" s="44" t="s">
        <v>346</v>
      </c>
      <c r="E68" s="44"/>
      <c r="F68" s="44"/>
      <c r="G68" s="36" t="n">
        <f aca="false">IF($D68="","",1+($E68&lt;&gt;"")+($F68&lt;&gt;""))</f>
        <v>1</v>
      </c>
      <c r="H68" s="38" t="n">
        <f aca="false">IF($D68="","",INDEX(ПРОФЕССИИ!$F$5:$H$39,MATCH($D68,ПРОФЕССИИ!$A$5:$A$39,0),$G68))</f>
        <v>500</v>
      </c>
      <c r="I68" s="37" t="str">
        <f aca="false">IF($D68="","",INDEX(ПРОФЕССИИ!$E$5:$E$39,MATCH($D68,ПРОФЕССИИ!$A$5:$A$39,0)))</f>
        <v>Доход</v>
      </c>
      <c r="J68" s="37" t="str">
        <f aca="false">IF($D68="","",INDEX(ПРОФЕССИИ!$J$5:$J$39,MATCH($D68,ПРОФЕССИИ!$A$5:$A$39,0)))</f>
        <v>Банк (при выплате)</v>
      </c>
      <c r="K68" s="38" t="n">
        <f aca="false">IF($D68="","",($E68&lt;&gt;"")*ИНФА!$F$27+($F68&lt;&gt;"")*ИНФА!$F$28)</f>
        <v>0</v>
      </c>
      <c r="L68" s="47" t="str">
        <f aca="false">IF($D68="","",IF(AND($F68&lt;&gt;"",$E68=""),"сначала уровень 2! ","")&amp;IF(AND($F68&lt;&gt;"",$E68&lt;&gt;"",N($F68)&lt;=N($E68)),"ур. 3 — в более позднем цикле, чем ур. 2! ","")&amp;IF(OR(AND($E68&lt;&gt;"",COUNTIFS($A$5:$A$76,$A68,$E$5:$E$76,$E68)+COUNTIFS($A$5:$A$76,$A68,$F$5:$F$76,$E68)&gt;1),AND($F68&lt;&gt;"",COUNTIFS($A$5:$A$76,$A68,$E$5:$E$76,$F68)+COUNTIFS($A$5:$A$76,$A68,$F$5:$F$76,$F68)&gt;1)),"больше 1 повышения в цикле у компании; ","")&amp;IF(AND($C68="",ИНФА!$F$5&gt;1),"карточка не используется",""))</f>
        <v/>
      </c>
      <c r="N68" s="44"/>
      <c r="O68" s="44"/>
      <c r="P68" s="44"/>
      <c r="Q68" s="37" t="str">
        <f aca="false">IF(OR($O68="",$P68=""),"",MAX(1,SUMIFS($G$5:$G$76,$A$5:$A$76,$O68,$D$5:$D$76,$P68)))</f>
        <v/>
      </c>
      <c r="R68" s="37" t="str">
        <f aca="false">IF($P68="","",INDEX(ПРОФЕССИИ!$E$5:$E$39,MATCH($P68,ПРОФЕССИИ!$A$5:$A$39,0)))</f>
        <v/>
      </c>
      <c r="S68" s="38" t="str">
        <f aca="false">IF(OR($P68="",$Q68=""),"",INDEX(ПРОФЕССИИ!$F$5:$H$39,MATCH($P68,ПРОФЕССИИ!$A$5:$A$39,0),$Q68))</f>
        <v/>
      </c>
      <c r="T68" s="44"/>
      <c r="U68" s="44"/>
      <c r="V68" s="47" t="str">
        <f aca="false">IF($O68="","",IF(COUNTIFS($N$5:$N$124,$N68,$O$5:$O$124,$O68,$P$5:$P$124,$P68)&gt;1,"повтор в этом цикле!","")&amp;IF(COUNTIFS($A$5:$A$76,$O68,$D$5:$D$76,$P68)=0," такой профессии нет у компании (найм?)",""))</f>
        <v/>
      </c>
    </row>
    <row r="69" customFormat="false" ht="15" hidden="false" customHeight="false" outlineLevel="0" collapsed="false">
      <c r="A69" s="36" t="str">
        <f aca="false">ИНФА!$B$15</f>
        <v>Новатор</v>
      </c>
      <c r="B69" s="37" t="n">
        <v>5</v>
      </c>
      <c r="C69" s="44"/>
      <c r="D69" s="44" t="s">
        <v>347</v>
      </c>
      <c r="E69" s="44"/>
      <c r="F69" s="44"/>
      <c r="G69" s="36" t="n">
        <f aca="false">IF($D69="","",1+($E69&lt;&gt;"")+($F69&lt;&gt;""))</f>
        <v>1</v>
      </c>
      <c r="H69" s="38" t="n">
        <f aca="false">IF($D69="","",INDEX(ПРОФЕССИИ!$F$5:$H$39,MATCH($D69,ПРОФЕССИИ!$A$5:$A$39,0),$G69))</f>
        <v>500</v>
      </c>
      <c r="I69" s="37" t="str">
        <f aca="false">IF($D69="","",INDEX(ПРОФЕССИИ!$E$5:$E$39,MATCH($D69,ПРОФЕССИИ!$A$5:$A$39,0)))</f>
        <v>Доход</v>
      </c>
      <c r="J69" s="37" t="str">
        <f aca="false">IF($D69="","",INDEX(ПРОФЕССИИ!$J$5:$J$39,MATCH($D69,ПРОФЕССИИ!$A$5:$A$39,0)))</f>
        <v>Банк (при выплате)</v>
      </c>
      <c r="K69" s="38" t="n">
        <f aca="false">IF($D69="","",($E69&lt;&gt;"")*ИНФА!$F$27+($F69&lt;&gt;"")*ИНФА!$F$28)</f>
        <v>0</v>
      </c>
      <c r="L69" s="47" t="str">
        <f aca="false">IF($D69="","",IF(AND($F69&lt;&gt;"",$E69=""),"сначала уровень 2! ","")&amp;IF(AND($F69&lt;&gt;"",$E69&lt;&gt;"",N($F69)&lt;=N($E69)),"ур. 3 — в более позднем цикле, чем ур. 2! ","")&amp;IF(OR(AND($E69&lt;&gt;"",COUNTIFS($A$5:$A$76,$A69,$E$5:$E$76,$E69)+COUNTIFS($A$5:$A$76,$A69,$F$5:$F$76,$E69)&gt;1),AND($F69&lt;&gt;"",COUNTIFS($A$5:$A$76,$A69,$E$5:$E$76,$F69)+COUNTIFS($A$5:$A$76,$A69,$F$5:$F$76,$F69)&gt;1)),"больше 1 повышения в цикле у компании; ","")&amp;IF(AND($C69="",ИНФА!$F$5&gt;1),"карточка не используется",""))</f>
        <v/>
      </c>
      <c r="N69" s="44"/>
      <c r="O69" s="44"/>
      <c r="P69" s="44"/>
      <c r="Q69" s="37" t="str">
        <f aca="false">IF(OR($O69="",$P69=""),"",MAX(1,SUMIFS($G$5:$G$76,$A$5:$A$76,$O69,$D$5:$D$76,$P69)))</f>
        <v/>
      </c>
      <c r="R69" s="37" t="str">
        <f aca="false">IF($P69="","",INDEX(ПРОФЕССИИ!$E$5:$E$39,MATCH($P69,ПРОФЕССИИ!$A$5:$A$39,0)))</f>
        <v/>
      </c>
      <c r="S69" s="38" t="str">
        <f aca="false">IF(OR($P69="",$Q69=""),"",INDEX(ПРОФЕССИИ!$F$5:$H$39,MATCH($P69,ПРОФЕССИИ!$A$5:$A$39,0),$Q69))</f>
        <v/>
      </c>
      <c r="T69" s="44"/>
      <c r="U69" s="44"/>
      <c r="V69" s="47" t="str">
        <f aca="false">IF($O69="","",IF(COUNTIFS($N$5:$N$124,$N69,$O$5:$O$124,$O69,$P$5:$P$124,$P69)&gt;1,"повтор в этом цикле!","")&amp;IF(COUNTIFS($A$5:$A$76,$O69,$D$5:$D$76,$P69)=0," такой профессии нет у компании (найм?)",""))</f>
        <v/>
      </c>
    </row>
    <row r="70" customFormat="false" ht="15" hidden="false" customHeight="false" outlineLevel="0" collapsed="false">
      <c r="A70" s="36" t="str">
        <f aca="false">ИНФА!$B$15</f>
        <v>Новатор</v>
      </c>
      <c r="B70" s="37" t="n">
        <v>6</v>
      </c>
      <c r="C70" s="44"/>
      <c r="D70" s="44" t="s">
        <v>348</v>
      </c>
      <c r="E70" s="44"/>
      <c r="F70" s="44"/>
      <c r="G70" s="36" t="n">
        <f aca="false">IF($D70="","",1+($E70&lt;&gt;"")+($F70&lt;&gt;""))</f>
        <v>1</v>
      </c>
      <c r="H70" s="38" t="n">
        <f aca="false">IF($D70="","",INDEX(ПРОФЕССИИ!$F$5:$H$39,MATCH($D70,ПРОФЕССИИ!$A$5:$A$39,0),$G70))</f>
        <v>500</v>
      </c>
      <c r="I70" s="37" t="str">
        <f aca="false">IF($D70="","",INDEX(ПРОФЕССИИ!$E$5:$E$39,MATCH($D70,ПРОФЕССИИ!$A$5:$A$39,0)))</f>
        <v>Защита</v>
      </c>
      <c r="J70" s="37" t="str">
        <f aca="false">IF($D70="","",INDEX(ПРОФЕССИИ!$J$5:$J$39,MATCH($D70,ПРОФЕССИИ!$A$5:$A$39,0)))</f>
        <v>Банк (при событии)</v>
      </c>
      <c r="K70" s="38" t="n">
        <f aca="false">IF($D70="","",($E70&lt;&gt;"")*ИНФА!$F$27+($F70&lt;&gt;"")*ИНФА!$F$28)</f>
        <v>0</v>
      </c>
      <c r="L70" s="47" t="str">
        <f aca="false">IF($D70="","",IF(AND($F70&lt;&gt;"",$E70=""),"сначала уровень 2! ","")&amp;IF(AND($F70&lt;&gt;"",$E70&lt;&gt;"",N($F70)&lt;=N($E70)),"ур. 3 — в более позднем цикле, чем ур. 2! ","")&amp;IF(OR(AND($E70&lt;&gt;"",COUNTIFS($A$5:$A$76,$A70,$E$5:$E$76,$E70)+COUNTIFS($A$5:$A$76,$A70,$F$5:$F$76,$E70)&gt;1),AND($F70&lt;&gt;"",COUNTIFS($A$5:$A$76,$A70,$E$5:$E$76,$F70)+COUNTIFS($A$5:$A$76,$A70,$F$5:$F$76,$F70)&gt;1)),"больше 1 повышения в цикле у компании; ","")&amp;IF(AND($C70="",ИНФА!$F$5&gt;1),"карточка не используется",""))</f>
        <v/>
      </c>
      <c r="N70" s="44"/>
      <c r="O70" s="44"/>
      <c r="P70" s="44"/>
      <c r="Q70" s="37" t="str">
        <f aca="false">IF(OR($O70="",$P70=""),"",MAX(1,SUMIFS($G$5:$G$76,$A$5:$A$76,$O70,$D$5:$D$76,$P70)))</f>
        <v/>
      </c>
      <c r="R70" s="37" t="str">
        <f aca="false">IF($P70="","",INDEX(ПРОФЕССИИ!$E$5:$E$39,MATCH($P70,ПРОФЕССИИ!$A$5:$A$39,0)))</f>
        <v/>
      </c>
      <c r="S70" s="38" t="str">
        <f aca="false">IF(OR($P70="",$Q70=""),"",INDEX(ПРОФЕССИИ!$F$5:$H$39,MATCH($P70,ПРОФЕССИИ!$A$5:$A$39,0),$Q70))</f>
        <v/>
      </c>
      <c r="T70" s="44"/>
      <c r="U70" s="44"/>
      <c r="V70" s="47" t="str">
        <f aca="false">IF($O70="","",IF(COUNTIFS($N$5:$N$124,$N70,$O$5:$O$124,$O70,$P$5:$P$124,$P70)&gt;1,"повтор в этом цикле!","")&amp;IF(COUNTIFS($A$5:$A$76,$O70,$D$5:$D$76,$P70)=0," такой профессии нет у компании (найм?)",""))</f>
        <v/>
      </c>
    </row>
    <row r="71" customFormat="false" ht="15" hidden="false" customHeight="false" outlineLevel="0" collapsed="false">
      <c r="A71" s="36" t="str">
        <f aca="false">ИНФА!$B$16</f>
        <v>Магистраль</v>
      </c>
      <c r="B71" s="37" t="n">
        <v>1</v>
      </c>
      <c r="C71" s="44"/>
      <c r="D71" s="44" t="s">
        <v>349</v>
      </c>
      <c r="E71" s="44"/>
      <c r="F71" s="44"/>
      <c r="G71" s="36" t="n">
        <f aca="false">IF($D71="","",1+($E71&lt;&gt;"")+($F71&lt;&gt;""))</f>
        <v>1</v>
      </c>
      <c r="H71" s="38" t="n">
        <f aca="false">IF($D71="","",INDEX(ПРОФЕССИИ!$F$5:$H$39,MATCH($D71,ПРОФЕССИИ!$A$5:$A$39,0),$G71))</f>
        <v>500</v>
      </c>
      <c r="I71" s="37" t="str">
        <f aca="false">IF($D71="","",INDEX(ПРОФЕССИИ!$E$5:$E$39,MATCH($D71,ПРОФЕССИИ!$A$5:$A$39,0)))</f>
        <v>Доход</v>
      </c>
      <c r="J71" s="37" t="str">
        <f aca="false">IF($D71="","",INDEX(ПРОФЕССИИ!$J$5:$J$39,MATCH($D71,ПРОФЕССИИ!$A$5:$A$39,0)))</f>
        <v>Банк (при выплате)</v>
      </c>
      <c r="K71" s="38" t="n">
        <f aca="false">IF($D71="","",($E71&lt;&gt;"")*ИНФА!$F$27+($F71&lt;&gt;"")*ИНФА!$F$28)</f>
        <v>0</v>
      </c>
      <c r="L71" s="47" t="str">
        <f aca="false">IF($D71="","",IF(AND($F71&lt;&gt;"",$E71=""),"сначала уровень 2! ","")&amp;IF(AND($F71&lt;&gt;"",$E71&lt;&gt;"",N($F71)&lt;=N($E71)),"ур. 3 — в более позднем цикле, чем ур. 2! ","")&amp;IF(OR(AND($E71&lt;&gt;"",COUNTIFS($A$5:$A$76,$A71,$E$5:$E$76,$E71)+COUNTIFS($A$5:$A$76,$A71,$F$5:$F$76,$E71)&gt;1),AND($F71&lt;&gt;"",COUNTIFS($A$5:$A$76,$A71,$E$5:$E$76,$F71)+COUNTIFS($A$5:$A$76,$A71,$F$5:$F$76,$F71)&gt;1)),"больше 1 повышения в цикле у компании; ","")&amp;IF(AND($C71="",ИНФА!$F$5&gt;1),"карточка не используется",""))</f>
        <v/>
      </c>
      <c r="N71" s="44"/>
      <c r="O71" s="44"/>
      <c r="P71" s="44"/>
      <c r="Q71" s="37" t="str">
        <f aca="false">IF(OR($O71="",$P71=""),"",MAX(1,SUMIFS($G$5:$G$76,$A$5:$A$76,$O71,$D$5:$D$76,$P71)))</f>
        <v/>
      </c>
      <c r="R71" s="37" t="str">
        <f aca="false">IF($P71="","",INDEX(ПРОФЕССИИ!$E$5:$E$39,MATCH($P71,ПРОФЕССИИ!$A$5:$A$39,0)))</f>
        <v/>
      </c>
      <c r="S71" s="38" t="str">
        <f aca="false">IF(OR($P71="",$Q71=""),"",INDEX(ПРОФЕССИИ!$F$5:$H$39,MATCH($P71,ПРОФЕССИИ!$A$5:$A$39,0),$Q71))</f>
        <v/>
      </c>
      <c r="T71" s="44"/>
      <c r="U71" s="44"/>
      <c r="V71" s="47" t="str">
        <f aca="false">IF($O71="","",IF(COUNTIFS($N$5:$N$124,$N71,$O$5:$O$124,$O71,$P$5:$P$124,$P71)&gt;1,"повтор в этом цикле!","")&amp;IF(COUNTIFS($A$5:$A$76,$O71,$D$5:$D$76,$P71)=0," такой профессии нет у компании (найм?)",""))</f>
        <v/>
      </c>
    </row>
    <row r="72" customFormat="false" ht="15" hidden="false" customHeight="false" outlineLevel="0" collapsed="false">
      <c r="A72" s="36" t="str">
        <f aca="false">ИНФА!$B$16</f>
        <v>Магистраль</v>
      </c>
      <c r="B72" s="37" t="n">
        <v>2</v>
      </c>
      <c r="C72" s="44"/>
      <c r="D72" s="44" t="s">
        <v>350</v>
      </c>
      <c r="E72" s="44"/>
      <c r="F72" s="44"/>
      <c r="G72" s="36" t="n">
        <f aca="false">IF($D72="","",1+($E72&lt;&gt;"")+($F72&lt;&gt;""))</f>
        <v>1</v>
      </c>
      <c r="H72" s="38" t="n">
        <f aca="false">IF($D72="","",INDEX(ПРОФЕССИИ!$F$5:$H$39,MATCH($D72,ПРОФЕССИИ!$A$5:$A$39,0),$G72))</f>
        <v>1000</v>
      </c>
      <c r="I72" s="37" t="str">
        <f aca="false">IF($D72="","",INDEX(ПРОФЕССИИ!$E$5:$E$39,MATCH($D72,ПРОФЕССИИ!$A$5:$A$39,0)))</f>
        <v>Перенос долга</v>
      </c>
      <c r="J72" s="37" t="str">
        <f aca="false">IF($D72="","",INDEX(ПРОФЕССИИ!$J$5:$J$39,MATCH($D72,ПРОФЕССИИ!$A$5:$A$39,0)))</f>
        <v>Банк</v>
      </c>
      <c r="K72" s="38" t="n">
        <f aca="false">IF($D72="","",($E72&lt;&gt;"")*ИНФА!$F$27+($F72&lt;&gt;"")*ИНФА!$F$28)</f>
        <v>0</v>
      </c>
      <c r="L72" s="47" t="str">
        <f aca="false">IF($D72="","",IF(AND($F72&lt;&gt;"",$E72=""),"сначала уровень 2! ","")&amp;IF(AND($F72&lt;&gt;"",$E72&lt;&gt;"",N($F72)&lt;=N($E72)),"ур. 3 — в более позднем цикле, чем ур. 2! ","")&amp;IF(OR(AND($E72&lt;&gt;"",COUNTIFS($A$5:$A$76,$A72,$E$5:$E$76,$E72)+COUNTIFS($A$5:$A$76,$A72,$F$5:$F$76,$E72)&gt;1),AND($F72&lt;&gt;"",COUNTIFS($A$5:$A$76,$A72,$E$5:$E$76,$F72)+COUNTIFS($A$5:$A$76,$A72,$F$5:$F$76,$F72)&gt;1)),"больше 1 повышения в цикле у компании; ","")&amp;IF(AND($C72="",ИНФА!$F$5&gt;1),"карточка не используется",""))</f>
        <v/>
      </c>
      <c r="N72" s="44"/>
      <c r="O72" s="44"/>
      <c r="P72" s="44"/>
      <c r="Q72" s="37" t="str">
        <f aca="false">IF(OR($O72="",$P72=""),"",MAX(1,SUMIFS($G$5:$G$76,$A$5:$A$76,$O72,$D$5:$D$76,$P72)))</f>
        <v/>
      </c>
      <c r="R72" s="37" t="str">
        <f aca="false">IF($P72="","",INDEX(ПРОФЕССИИ!$E$5:$E$39,MATCH($P72,ПРОФЕССИИ!$A$5:$A$39,0)))</f>
        <v/>
      </c>
      <c r="S72" s="38" t="str">
        <f aca="false">IF(OR($P72="",$Q72=""),"",INDEX(ПРОФЕССИИ!$F$5:$H$39,MATCH($P72,ПРОФЕССИИ!$A$5:$A$39,0),$Q72))</f>
        <v/>
      </c>
      <c r="T72" s="44"/>
      <c r="U72" s="44"/>
      <c r="V72" s="47" t="str">
        <f aca="false">IF($O72="","",IF(COUNTIFS($N$5:$N$124,$N72,$O$5:$O$124,$O72,$P$5:$P$124,$P72)&gt;1,"повтор в этом цикле!","")&amp;IF(COUNTIFS($A$5:$A$76,$O72,$D$5:$D$76,$P72)=0," такой профессии нет у компании (найм?)",""))</f>
        <v/>
      </c>
    </row>
    <row r="73" customFormat="false" ht="15" hidden="false" customHeight="false" outlineLevel="0" collapsed="false">
      <c r="A73" s="36" t="str">
        <f aca="false">ИНФА!$B$16</f>
        <v>Магистраль</v>
      </c>
      <c r="B73" s="37" t="n">
        <v>3</v>
      </c>
      <c r="C73" s="44"/>
      <c r="D73" s="44" t="s">
        <v>351</v>
      </c>
      <c r="E73" s="44"/>
      <c r="F73" s="44"/>
      <c r="G73" s="36" t="n">
        <f aca="false">IF($D73="","",1+($E73&lt;&gt;"")+($F73&lt;&gt;""))</f>
        <v>1</v>
      </c>
      <c r="H73" s="38" t="n">
        <f aca="false">IF($D73="","",INDEX(ПРОФЕССИИ!$F$5:$H$39,MATCH($D73,ПРОФЕССИИ!$A$5:$A$39,0),$G73))</f>
        <v>500</v>
      </c>
      <c r="I73" s="37" t="str">
        <f aca="false">IF($D73="","",INDEX(ПРОФЕССИИ!$E$5:$E$39,MATCH($D73,ПРОФЕССИИ!$A$5:$A$39,0)))</f>
        <v>Доход</v>
      </c>
      <c r="J73" s="37" t="str">
        <f aca="false">IF($D73="","",INDEX(ПРОФЕССИИ!$J$5:$J$39,MATCH($D73,ПРОФЕССИИ!$A$5:$A$39,0)))</f>
        <v>Банк (при выплате)</v>
      </c>
      <c r="K73" s="38" t="n">
        <f aca="false">IF($D73="","",($E73&lt;&gt;"")*ИНФА!$F$27+($F73&lt;&gt;"")*ИНФА!$F$28)</f>
        <v>0</v>
      </c>
      <c r="L73" s="47" t="str">
        <f aca="false">IF($D73="","",IF(AND($F73&lt;&gt;"",$E73=""),"сначала уровень 2! ","")&amp;IF(AND($F73&lt;&gt;"",$E73&lt;&gt;"",N($F73)&lt;=N($E73)),"ур. 3 — в более позднем цикле, чем ур. 2! ","")&amp;IF(OR(AND($E73&lt;&gt;"",COUNTIFS($A$5:$A$76,$A73,$E$5:$E$76,$E73)+COUNTIFS($A$5:$A$76,$A73,$F$5:$F$76,$E73)&gt;1),AND($F73&lt;&gt;"",COUNTIFS($A$5:$A$76,$A73,$E$5:$E$76,$F73)+COUNTIFS($A$5:$A$76,$A73,$F$5:$F$76,$F73)&gt;1)),"больше 1 повышения в цикле у компании; ","")&amp;IF(AND($C73="",ИНФА!$F$5&gt;1),"карточка не используется",""))</f>
        <v/>
      </c>
      <c r="N73" s="44"/>
      <c r="O73" s="44"/>
      <c r="P73" s="44"/>
      <c r="Q73" s="37" t="str">
        <f aca="false">IF(OR($O73="",$P73=""),"",MAX(1,SUMIFS($G$5:$G$76,$A$5:$A$76,$O73,$D$5:$D$76,$P73)))</f>
        <v/>
      </c>
      <c r="R73" s="37" t="str">
        <f aca="false">IF($P73="","",INDEX(ПРОФЕССИИ!$E$5:$E$39,MATCH($P73,ПРОФЕССИИ!$A$5:$A$39,0)))</f>
        <v/>
      </c>
      <c r="S73" s="38" t="str">
        <f aca="false">IF(OR($P73="",$Q73=""),"",INDEX(ПРОФЕССИИ!$F$5:$H$39,MATCH($P73,ПРОФЕССИИ!$A$5:$A$39,0),$Q73))</f>
        <v/>
      </c>
      <c r="T73" s="44"/>
      <c r="U73" s="44"/>
      <c r="V73" s="47" t="str">
        <f aca="false">IF($O73="","",IF(COUNTIFS($N$5:$N$124,$N73,$O$5:$O$124,$O73,$P$5:$P$124,$P73)&gt;1,"повтор в этом цикле!","")&amp;IF(COUNTIFS($A$5:$A$76,$O73,$D$5:$D$76,$P73)=0," такой профессии нет у компании (найм?)",""))</f>
        <v/>
      </c>
    </row>
    <row r="74" customFormat="false" ht="15" hidden="false" customHeight="false" outlineLevel="0" collapsed="false">
      <c r="A74" s="36" t="str">
        <f aca="false">ИНФА!$B$16</f>
        <v>Магистраль</v>
      </c>
      <c r="B74" s="37" t="n">
        <v>4</v>
      </c>
      <c r="C74" s="44"/>
      <c r="D74" s="44" t="s">
        <v>352</v>
      </c>
      <c r="E74" s="44"/>
      <c r="F74" s="44"/>
      <c r="G74" s="36" t="n">
        <f aca="false">IF($D74="","",1+($E74&lt;&gt;"")+($F74&lt;&gt;""))</f>
        <v>1</v>
      </c>
      <c r="H74" s="38" t="n">
        <f aca="false">IF($D74="","",INDEX(ПРОФЕССИИ!$F$5:$H$39,MATCH($D74,ПРОФЕССИИ!$A$5:$A$39,0),$G74))</f>
        <v>500</v>
      </c>
      <c r="I74" s="37" t="str">
        <f aca="false">IF($D74="","",INDEX(ПРОФЕССИИ!$E$5:$E$39,MATCH($D74,ПРОФЕССИИ!$A$5:$A$39,0)))</f>
        <v>Доход</v>
      </c>
      <c r="J74" s="37" t="str">
        <f aca="false">IF($D74="","",INDEX(ПРОФЕССИИ!$J$5:$J$39,MATCH($D74,ПРОФЕССИИ!$A$5:$A$39,0)))</f>
        <v>Банк (при выплате)</v>
      </c>
      <c r="K74" s="38" t="n">
        <f aca="false">IF($D74="","",($E74&lt;&gt;"")*ИНФА!$F$27+($F74&lt;&gt;"")*ИНФА!$F$28)</f>
        <v>0</v>
      </c>
      <c r="L74" s="47" t="str">
        <f aca="false">IF($D74="","",IF(AND($F74&lt;&gt;"",$E74=""),"сначала уровень 2! ","")&amp;IF(AND($F74&lt;&gt;"",$E74&lt;&gt;"",N($F74)&lt;=N($E74)),"ур. 3 — в более позднем цикле, чем ур. 2! ","")&amp;IF(OR(AND($E74&lt;&gt;"",COUNTIFS($A$5:$A$76,$A74,$E$5:$E$76,$E74)+COUNTIFS($A$5:$A$76,$A74,$F$5:$F$76,$E74)&gt;1),AND($F74&lt;&gt;"",COUNTIFS($A$5:$A$76,$A74,$E$5:$E$76,$F74)+COUNTIFS($A$5:$A$76,$A74,$F$5:$F$76,$F74)&gt;1)),"больше 1 повышения в цикле у компании; ","")&amp;IF(AND($C74="",ИНФА!$F$5&gt;1),"карточка не используется",""))</f>
        <v/>
      </c>
      <c r="N74" s="44"/>
      <c r="O74" s="44"/>
      <c r="P74" s="44"/>
      <c r="Q74" s="37" t="str">
        <f aca="false">IF(OR($O74="",$P74=""),"",MAX(1,SUMIFS($G$5:$G$76,$A$5:$A$76,$O74,$D$5:$D$76,$P74)))</f>
        <v/>
      </c>
      <c r="R74" s="37" t="str">
        <f aca="false">IF($P74="","",INDEX(ПРОФЕССИИ!$E$5:$E$39,MATCH($P74,ПРОФЕССИИ!$A$5:$A$39,0)))</f>
        <v/>
      </c>
      <c r="S74" s="38" t="str">
        <f aca="false">IF(OR($P74="",$Q74=""),"",INDEX(ПРОФЕССИИ!$F$5:$H$39,MATCH($P74,ПРОФЕССИИ!$A$5:$A$39,0),$Q74))</f>
        <v/>
      </c>
      <c r="T74" s="44"/>
      <c r="U74" s="44"/>
      <c r="V74" s="47" t="str">
        <f aca="false">IF($O74="","",IF(COUNTIFS($N$5:$N$124,$N74,$O$5:$O$124,$O74,$P$5:$P$124,$P74)&gt;1,"повтор в этом цикле!","")&amp;IF(COUNTIFS($A$5:$A$76,$O74,$D$5:$D$76,$P74)=0," такой профессии нет у компании (найм?)",""))</f>
        <v/>
      </c>
    </row>
    <row r="75" customFormat="false" ht="15" hidden="false" customHeight="false" outlineLevel="0" collapsed="false">
      <c r="A75" s="36" t="str">
        <f aca="false">ИНФА!$B$16</f>
        <v>Магистраль</v>
      </c>
      <c r="B75" s="37" t="n">
        <v>5</v>
      </c>
      <c r="C75" s="44"/>
      <c r="D75" s="44" t="s">
        <v>353</v>
      </c>
      <c r="E75" s="44"/>
      <c r="F75" s="44"/>
      <c r="G75" s="36" t="n">
        <f aca="false">IF($D75="","",1+($E75&lt;&gt;"")+($F75&lt;&gt;""))</f>
        <v>1</v>
      </c>
      <c r="H75" s="38" t="n">
        <f aca="false">IF($D75="","",INDEX(ПРОФЕССИИ!$F$5:$H$39,MATCH($D75,ПРОФЕССИИ!$A$5:$A$39,0),$G75))</f>
        <v>500</v>
      </c>
      <c r="I75" s="37" t="str">
        <f aca="false">IF($D75="","",INDEX(ПРОФЕССИИ!$E$5:$E$39,MATCH($D75,ПРОФЕССИИ!$A$5:$A$39,0)))</f>
        <v>Проект</v>
      </c>
      <c r="J75" s="37" t="str">
        <f aca="false">IF($D75="","",INDEX(ПРОФЕССИИ!$J$5:$J$39,MATCH($D75,ПРОФЕССИИ!$A$5:$A$39,0)))</f>
        <v>Гражданские сервисы</v>
      </c>
      <c r="K75" s="38" t="n">
        <f aca="false">IF($D75="","",($E75&lt;&gt;"")*ИНФА!$F$27+($F75&lt;&gt;"")*ИНФА!$F$28)</f>
        <v>0</v>
      </c>
      <c r="L75" s="47" t="str">
        <f aca="false">IF($D75="","",IF(AND($F75&lt;&gt;"",$E75=""),"сначала уровень 2! ","")&amp;IF(AND($F75&lt;&gt;"",$E75&lt;&gt;"",N($F75)&lt;=N($E75)),"ур. 3 — в более позднем цикле, чем ур. 2! ","")&amp;IF(OR(AND($E75&lt;&gt;"",COUNTIFS($A$5:$A$76,$A75,$E$5:$E$76,$E75)+COUNTIFS($A$5:$A$76,$A75,$F$5:$F$76,$E75)&gt;1),AND($F75&lt;&gt;"",COUNTIFS($A$5:$A$76,$A75,$E$5:$E$76,$F75)+COUNTIFS($A$5:$A$76,$A75,$F$5:$F$76,$F75)&gt;1)),"больше 1 повышения в цикле у компании; ","")&amp;IF(AND($C75="",ИНФА!$F$5&gt;1),"карточка не используется",""))</f>
        <v/>
      </c>
      <c r="N75" s="44"/>
      <c r="O75" s="44"/>
      <c r="P75" s="44"/>
      <c r="Q75" s="37" t="str">
        <f aca="false">IF(OR($O75="",$P75=""),"",MAX(1,SUMIFS($G$5:$G$76,$A$5:$A$76,$O75,$D$5:$D$76,$P75)))</f>
        <v/>
      </c>
      <c r="R75" s="37" t="str">
        <f aca="false">IF($P75="","",INDEX(ПРОФЕССИИ!$E$5:$E$39,MATCH($P75,ПРОФЕССИИ!$A$5:$A$39,0)))</f>
        <v/>
      </c>
      <c r="S75" s="38" t="str">
        <f aca="false">IF(OR($P75="",$Q75=""),"",INDEX(ПРОФЕССИИ!$F$5:$H$39,MATCH($P75,ПРОФЕССИИ!$A$5:$A$39,0),$Q75))</f>
        <v/>
      </c>
      <c r="T75" s="44"/>
      <c r="U75" s="44"/>
      <c r="V75" s="47" t="str">
        <f aca="false">IF($O75="","",IF(COUNTIFS($N$5:$N$124,$N75,$O$5:$O$124,$O75,$P$5:$P$124,$P75)&gt;1,"повтор в этом цикле!","")&amp;IF(COUNTIFS($A$5:$A$76,$O75,$D$5:$D$76,$P75)=0," такой профессии нет у компании (найм?)",""))</f>
        <v/>
      </c>
    </row>
    <row r="76" customFormat="false" ht="15" hidden="false" customHeight="false" outlineLevel="0" collapsed="false">
      <c r="A76" s="36" t="str">
        <f aca="false">ИНФА!$B$16</f>
        <v>Магистраль</v>
      </c>
      <c r="B76" s="37" t="n">
        <v>6</v>
      </c>
      <c r="C76" s="44"/>
      <c r="D76" s="44" t="s">
        <v>320</v>
      </c>
      <c r="E76" s="44"/>
      <c r="F76" s="44"/>
      <c r="G76" s="36" t="n">
        <f aca="false">IF($D76="","",1+($E76&lt;&gt;"")+($F76&lt;&gt;""))</f>
        <v>1</v>
      </c>
      <c r="H76" s="38" t="n">
        <f aca="false">IF($D76="","",INDEX(ПРОФЕССИИ!$F$5:$H$39,MATCH($D76,ПРОФЕССИИ!$A$5:$A$39,0),$G76))</f>
        <v>500</v>
      </c>
      <c r="I76" s="37" t="str">
        <f aca="false">IF($D76="","",INDEX(ПРОФЕССИИ!$E$5:$E$39,MATCH($D76,ПРОФЕССИИ!$A$5:$A$39,0)))</f>
        <v>Доход</v>
      </c>
      <c r="J76" s="37" t="str">
        <f aca="false">IF($D76="","",INDEX(ПРОФЕССИИ!$J$5:$J$39,MATCH($D76,ПРОФЕССИИ!$A$5:$A$39,0)))</f>
        <v>Банк (при выплате)</v>
      </c>
      <c r="K76" s="38" t="n">
        <f aca="false">IF($D76="","",($E76&lt;&gt;"")*ИНФА!$F$27+($F76&lt;&gt;"")*ИНФА!$F$28)</f>
        <v>0</v>
      </c>
      <c r="L76" s="47" t="str">
        <f aca="false">IF($D76="","",IF(AND($F76&lt;&gt;"",$E76=""),"сначала уровень 2! ","")&amp;IF(AND($F76&lt;&gt;"",$E76&lt;&gt;"",N($F76)&lt;=N($E76)),"ур. 3 — в более позднем цикле, чем ур. 2! ","")&amp;IF(OR(AND($E76&lt;&gt;"",COUNTIFS($A$5:$A$76,$A76,$E$5:$E$76,$E76)+COUNTIFS($A$5:$A$76,$A76,$F$5:$F$76,$E76)&gt;1),AND($F76&lt;&gt;"",COUNTIFS($A$5:$A$76,$A76,$E$5:$E$76,$F76)+COUNTIFS($A$5:$A$76,$A76,$F$5:$F$76,$F76)&gt;1)),"больше 1 повышения в цикле у компании; ","")&amp;IF(AND($C76="",ИНФА!$F$5&gt;1),"карточка не используется",""))</f>
        <v/>
      </c>
      <c r="N76" s="44"/>
      <c r="O76" s="44"/>
      <c r="P76" s="44"/>
      <c r="Q76" s="37" t="str">
        <f aca="false">IF(OR($O76="",$P76=""),"",MAX(1,SUMIFS($G$5:$G$76,$A$5:$A$76,$O76,$D$5:$D$76,$P76)))</f>
        <v/>
      </c>
      <c r="R76" s="37" t="str">
        <f aca="false">IF($P76="","",INDEX(ПРОФЕССИИ!$E$5:$E$39,MATCH($P76,ПРОФЕССИИ!$A$5:$A$39,0)))</f>
        <v/>
      </c>
      <c r="S76" s="38" t="str">
        <f aca="false">IF(OR($P76="",$Q76=""),"",INDEX(ПРОФЕССИИ!$F$5:$H$39,MATCH($P76,ПРОФЕССИИ!$A$5:$A$39,0),$Q76))</f>
        <v/>
      </c>
      <c r="T76" s="44"/>
      <c r="U76" s="44"/>
      <c r="V76" s="47" t="str">
        <f aca="false">IF($O76="","",IF(COUNTIFS($N$5:$N$124,$N76,$O$5:$O$124,$O76,$P$5:$P$124,$P76)&gt;1,"повтор в этом цикле!","")&amp;IF(COUNTIFS($A$5:$A$76,$O76,$D$5:$D$76,$P76)=0," такой профессии нет у компании (найм?)",""))</f>
        <v/>
      </c>
    </row>
    <row r="77" customFormat="false" ht="15" hidden="false" customHeight="false" outlineLevel="0" collapsed="false">
      <c r="N77" s="44"/>
      <c r="O77" s="44"/>
      <c r="P77" s="44"/>
      <c r="Q77" s="37" t="str">
        <f aca="false">IF(OR($O77="",$P77=""),"",MAX(1,SUMIFS($G$5:$G$76,$A$5:$A$76,$O77,$D$5:$D$76,$P77)))</f>
        <v/>
      </c>
      <c r="R77" s="37" t="str">
        <f aca="false">IF($P77="","",INDEX(ПРОФЕССИИ!$E$5:$E$39,MATCH($P77,ПРОФЕССИИ!$A$5:$A$39,0)))</f>
        <v/>
      </c>
      <c r="S77" s="38" t="str">
        <f aca="false">IF(OR($P77="",$Q77=""),"",INDEX(ПРОФЕССИИ!$F$5:$H$39,MATCH($P77,ПРОФЕССИИ!$A$5:$A$39,0),$Q77))</f>
        <v/>
      </c>
      <c r="T77" s="44"/>
      <c r="U77" s="44"/>
      <c r="V77" s="47" t="str">
        <f aca="false">IF($O77="","",IF(COUNTIFS($N$5:$N$124,$N77,$O$5:$O$124,$O77,$P$5:$P$124,$P77)&gt;1,"повтор в этом цикле!","")&amp;IF(COUNTIFS($A$5:$A$76,$O77,$D$5:$D$76,$P77)=0," такой профессии нет у компании (найм?)",""))</f>
        <v/>
      </c>
    </row>
    <row r="78" customFormat="false" ht="15" hidden="false" customHeight="false" outlineLevel="0" collapsed="false">
      <c r="N78" s="44"/>
      <c r="O78" s="44"/>
      <c r="P78" s="44"/>
      <c r="Q78" s="37" t="str">
        <f aca="false">IF(OR($O78="",$P78=""),"",MAX(1,SUMIFS($G$5:$G$76,$A$5:$A$76,$O78,$D$5:$D$76,$P78)))</f>
        <v/>
      </c>
      <c r="R78" s="37" t="str">
        <f aca="false">IF($P78="","",INDEX(ПРОФЕССИИ!$E$5:$E$39,MATCH($P78,ПРОФЕССИИ!$A$5:$A$39,0)))</f>
        <v/>
      </c>
      <c r="S78" s="38" t="str">
        <f aca="false">IF(OR($P78="",$Q78=""),"",INDEX(ПРОФЕССИИ!$F$5:$H$39,MATCH($P78,ПРОФЕССИИ!$A$5:$A$39,0),$Q78))</f>
        <v/>
      </c>
      <c r="T78" s="44"/>
      <c r="U78" s="44"/>
      <c r="V78" s="47" t="str">
        <f aca="false">IF($O78="","",IF(COUNTIFS($N$5:$N$124,$N78,$O$5:$O$124,$O78,$P$5:$P$124,$P78)&gt;1,"повтор в этом цикле!","")&amp;IF(COUNTIFS($A$5:$A$76,$O78,$D$5:$D$76,$P78)=0," такой профессии нет у компании (найм?)",""))</f>
        <v/>
      </c>
    </row>
    <row r="79" customFormat="false" ht="15" hidden="false" customHeight="false" outlineLevel="0" collapsed="false">
      <c r="N79" s="44"/>
      <c r="O79" s="44"/>
      <c r="P79" s="44"/>
      <c r="Q79" s="37" t="str">
        <f aca="false">IF(OR($O79="",$P79=""),"",MAX(1,SUMIFS($G$5:$G$76,$A$5:$A$76,$O79,$D$5:$D$76,$P79)))</f>
        <v/>
      </c>
      <c r="R79" s="37" t="str">
        <f aca="false">IF($P79="","",INDEX(ПРОФЕССИИ!$E$5:$E$39,MATCH($P79,ПРОФЕССИИ!$A$5:$A$39,0)))</f>
        <v/>
      </c>
      <c r="S79" s="38" t="str">
        <f aca="false">IF(OR($P79="",$Q79=""),"",INDEX(ПРОФЕССИИ!$F$5:$H$39,MATCH($P79,ПРОФЕССИИ!$A$5:$A$39,0),$Q79))</f>
        <v/>
      </c>
      <c r="T79" s="44"/>
      <c r="U79" s="44"/>
      <c r="V79" s="47" t="str">
        <f aca="false">IF($O79="","",IF(COUNTIFS($N$5:$N$124,$N79,$O$5:$O$124,$O79,$P$5:$P$124,$P79)&gt;1,"повтор в этом цикле!","")&amp;IF(COUNTIFS($A$5:$A$76,$O79,$D$5:$D$76,$P79)=0," такой профессии нет у компании (найм?)",""))</f>
        <v/>
      </c>
    </row>
    <row r="80" customFormat="false" ht="15" hidden="false" customHeight="false" outlineLevel="0" collapsed="false">
      <c r="N80" s="44"/>
      <c r="O80" s="44"/>
      <c r="P80" s="44"/>
      <c r="Q80" s="37" t="str">
        <f aca="false">IF(OR($O80="",$P80=""),"",MAX(1,SUMIFS($G$5:$G$76,$A$5:$A$76,$O80,$D$5:$D$76,$P80)))</f>
        <v/>
      </c>
      <c r="R80" s="37" t="str">
        <f aca="false">IF($P80="","",INDEX(ПРОФЕССИИ!$E$5:$E$39,MATCH($P80,ПРОФЕССИИ!$A$5:$A$39,0)))</f>
        <v/>
      </c>
      <c r="S80" s="38" t="str">
        <f aca="false">IF(OR($P80="",$Q80=""),"",INDEX(ПРОФЕССИИ!$F$5:$H$39,MATCH($P80,ПРОФЕССИИ!$A$5:$A$39,0),$Q80))</f>
        <v/>
      </c>
      <c r="T80" s="44"/>
      <c r="U80" s="44"/>
      <c r="V80" s="47" t="str">
        <f aca="false">IF($O80="","",IF(COUNTIFS($N$5:$N$124,$N80,$O$5:$O$124,$O80,$P$5:$P$124,$P80)&gt;1,"повтор в этом цикле!","")&amp;IF(COUNTIFS($A$5:$A$76,$O80,$D$5:$D$76,$P80)=0," такой профессии нет у компании (найм?)",""))</f>
        <v/>
      </c>
    </row>
    <row r="81" customFormat="false" ht="15" hidden="false" customHeight="false" outlineLevel="0" collapsed="false">
      <c r="N81" s="44"/>
      <c r="O81" s="44"/>
      <c r="P81" s="44"/>
      <c r="Q81" s="37" t="str">
        <f aca="false">IF(OR($O81="",$P81=""),"",MAX(1,SUMIFS($G$5:$G$76,$A$5:$A$76,$O81,$D$5:$D$76,$P81)))</f>
        <v/>
      </c>
      <c r="R81" s="37" t="str">
        <f aca="false">IF($P81="","",INDEX(ПРОФЕССИИ!$E$5:$E$39,MATCH($P81,ПРОФЕССИИ!$A$5:$A$39,0)))</f>
        <v/>
      </c>
      <c r="S81" s="38" t="str">
        <f aca="false">IF(OR($P81="",$Q81=""),"",INDEX(ПРОФЕССИИ!$F$5:$H$39,MATCH($P81,ПРОФЕССИИ!$A$5:$A$39,0),$Q81))</f>
        <v/>
      </c>
      <c r="T81" s="44"/>
      <c r="U81" s="44"/>
      <c r="V81" s="47" t="str">
        <f aca="false">IF($O81="","",IF(COUNTIFS($N$5:$N$124,$N81,$O$5:$O$124,$O81,$P$5:$P$124,$P81)&gt;1,"повтор в этом цикле!","")&amp;IF(COUNTIFS($A$5:$A$76,$O81,$D$5:$D$76,$P81)=0," такой профессии нет у компании (найм?)",""))</f>
        <v/>
      </c>
    </row>
    <row r="82" customFormat="false" ht="15" hidden="false" customHeight="false" outlineLevel="0" collapsed="false">
      <c r="N82" s="44"/>
      <c r="O82" s="44"/>
      <c r="P82" s="44"/>
      <c r="Q82" s="37" t="str">
        <f aca="false">IF(OR($O82="",$P82=""),"",MAX(1,SUMIFS($G$5:$G$76,$A$5:$A$76,$O82,$D$5:$D$76,$P82)))</f>
        <v/>
      </c>
      <c r="R82" s="37" t="str">
        <f aca="false">IF($P82="","",INDEX(ПРОФЕССИИ!$E$5:$E$39,MATCH($P82,ПРОФЕССИИ!$A$5:$A$39,0)))</f>
        <v/>
      </c>
      <c r="S82" s="38" t="str">
        <f aca="false">IF(OR($P82="",$Q82=""),"",INDEX(ПРОФЕССИИ!$F$5:$H$39,MATCH($P82,ПРОФЕССИИ!$A$5:$A$39,0),$Q82))</f>
        <v/>
      </c>
      <c r="T82" s="44"/>
      <c r="U82" s="44"/>
      <c r="V82" s="47" t="str">
        <f aca="false">IF($O82="","",IF(COUNTIFS($N$5:$N$124,$N82,$O$5:$O$124,$O82,$P$5:$P$124,$P82)&gt;1,"повтор в этом цикле!","")&amp;IF(COUNTIFS($A$5:$A$76,$O82,$D$5:$D$76,$P82)=0," такой профессии нет у компании (найм?)",""))</f>
        <v/>
      </c>
    </row>
    <row r="83" customFormat="false" ht="15" hidden="false" customHeight="false" outlineLevel="0" collapsed="false">
      <c r="N83" s="44"/>
      <c r="O83" s="44"/>
      <c r="P83" s="44"/>
      <c r="Q83" s="37" t="str">
        <f aca="false">IF(OR($O83="",$P83=""),"",MAX(1,SUMIFS($G$5:$G$76,$A$5:$A$76,$O83,$D$5:$D$76,$P83)))</f>
        <v/>
      </c>
      <c r="R83" s="37" t="str">
        <f aca="false">IF($P83="","",INDEX(ПРОФЕССИИ!$E$5:$E$39,MATCH($P83,ПРОФЕССИИ!$A$5:$A$39,0)))</f>
        <v/>
      </c>
      <c r="S83" s="38" t="str">
        <f aca="false">IF(OR($P83="",$Q83=""),"",INDEX(ПРОФЕССИИ!$F$5:$H$39,MATCH($P83,ПРОФЕССИИ!$A$5:$A$39,0),$Q83))</f>
        <v/>
      </c>
      <c r="T83" s="44"/>
      <c r="U83" s="44"/>
      <c r="V83" s="47" t="str">
        <f aca="false">IF($O83="","",IF(COUNTIFS($N$5:$N$124,$N83,$O$5:$O$124,$O83,$P$5:$P$124,$P83)&gt;1,"повтор в этом цикле!","")&amp;IF(COUNTIFS($A$5:$A$76,$O83,$D$5:$D$76,$P83)=0," такой профессии нет у компании (найм?)",""))</f>
        <v/>
      </c>
    </row>
    <row r="84" customFormat="false" ht="15" hidden="false" customHeight="false" outlineLevel="0" collapsed="false">
      <c r="N84" s="44"/>
      <c r="O84" s="44"/>
      <c r="P84" s="44"/>
      <c r="Q84" s="37" t="str">
        <f aca="false">IF(OR($O84="",$P84=""),"",MAX(1,SUMIFS($G$5:$G$76,$A$5:$A$76,$O84,$D$5:$D$76,$P84)))</f>
        <v/>
      </c>
      <c r="R84" s="37" t="str">
        <f aca="false">IF($P84="","",INDEX(ПРОФЕССИИ!$E$5:$E$39,MATCH($P84,ПРОФЕССИИ!$A$5:$A$39,0)))</f>
        <v/>
      </c>
      <c r="S84" s="38" t="str">
        <f aca="false">IF(OR($P84="",$Q84=""),"",INDEX(ПРОФЕССИИ!$F$5:$H$39,MATCH($P84,ПРОФЕССИИ!$A$5:$A$39,0),$Q84))</f>
        <v/>
      </c>
      <c r="T84" s="44"/>
      <c r="U84" s="44"/>
      <c r="V84" s="47" t="str">
        <f aca="false">IF($O84="","",IF(COUNTIFS($N$5:$N$124,$N84,$O$5:$O$124,$O84,$P$5:$P$124,$P84)&gt;1,"повтор в этом цикле!","")&amp;IF(COUNTIFS($A$5:$A$76,$O84,$D$5:$D$76,$P84)=0," такой профессии нет у компании (найм?)",""))</f>
        <v/>
      </c>
    </row>
    <row r="85" customFormat="false" ht="15" hidden="false" customHeight="false" outlineLevel="0" collapsed="false">
      <c r="N85" s="44"/>
      <c r="O85" s="44"/>
      <c r="P85" s="44"/>
      <c r="Q85" s="37" t="str">
        <f aca="false">IF(OR($O85="",$P85=""),"",MAX(1,SUMIFS($G$5:$G$76,$A$5:$A$76,$O85,$D$5:$D$76,$P85)))</f>
        <v/>
      </c>
      <c r="R85" s="37" t="str">
        <f aca="false">IF($P85="","",INDEX(ПРОФЕССИИ!$E$5:$E$39,MATCH($P85,ПРОФЕССИИ!$A$5:$A$39,0)))</f>
        <v/>
      </c>
      <c r="S85" s="38" t="str">
        <f aca="false">IF(OR($P85="",$Q85=""),"",INDEX(ПРОФЕССИИ!$F$5:$H$39,MATCH($P85,ПРОФЕССИИ!$A$5:$A$39,0),$Q85))</f>
        <v/>
      </c>
      <c r="T85" s="44"/>
      <c r="U85" s="44"/>
      <c r="V85" s="47" t="str">
        <f aca="false">IF($O85="","",IF(COUNTIFS($N$5:$N$124,$N85,$O$5:$O$124,$O85,$P$5:$P$124,$P85)&gt;1,"повтор в этом цикле!","")&amp;IF(COUNTIFS($A$5:$A$76,$O85,$D$5:$D$76,$P85)=0," такой профессии нет у компании (найм?)",""))</f>
        <v/>
      </c>
    </row>
    <row r="86" customFormat="false" ht="15" hidden="false" customHeight="false" outlineLevel="0" collapsed="false">
      <c r="N86" s="44"/>
      <c r="O86" s="44"/>
      <c r="P86" s="44"/>
      <c r="Q86" s="37" t="str">
        <f aca="false">IF(OR($O86="",$P86=""),"",MAX(1,SUMIFS($G$5:$G$76,$A$5:$A$76,$O86,$D$5:$D$76,$P86)))</f>
        <v/>
      </c>
      <c r="R86" s="37" t="str">
        <f aca="false">IF($P86="","",INDEX(ПРОФЕССИИ!$E$5:$E$39,MATCH($P86,ПРОФЕССИИ!$A$5:$A$39,0)))</f>
        <v/>
      </c>
      <c r="S86" s="38" t="str">
        <f aca="false">IF(OR($P86="",$Q86=""),"",INDEX(ПРОФЕССИИ!$F$5:$H$39,MATCH($P86,ПРОФЕССИИ!$A$5:$A$39,0),$Q86))</f>
        <v/>
      </c>
      <c r="T86" s="44"/>
      <c r="U86" s="44"/>
      <c r="V86" s="47" t="str">
        <f aca="false">IF($O86="","",IF(COUNTIFS($N$5:$N$124,$N86,$O$5:$O$124,$O86,$P$5:$P$124,$P86)&gt;1,"повтор в этом цикле!","")&amp;IF(COUNTIFS($A$5:$A$76,$O86,$D$5:$D$76,$P86)=0," такой профессии нет у компании (найм?)",""))</f>
        <v/>
      </c>
    </row>
    <row r="87" customFormat="false" ht="15" hidden="false" customHeight="false" outlineLevel="0" collapsed="false">
      <c r="N87" s="44"/>
      <c r="O87" s="44"/>
      <c r="P87" s="44"/>
      <c r="Q87" s="37" t="str">
        <f aca="false">IF(OR($O87="",$P87=""),"",MAX(1,SUMIFS($G$5:$G$76,$A$5:$A$76,$O87,$D$5:$D$76,$P87)))</f>
        <v/>
      </c>
      <c r="R87" s="37" t="str">
        <f aca="false">IF($P87="","",INDEX(ПРОФЕССИИ!$E$5:$E$39,MATCH($P87,ПРОФЕССИИ!$A$5:$A$39,0)))</f>
        <v/>
      </c>
      <c r="S87" s="38" t="str">
        <f aca="false">IF(OR($P87="",$Q87=""),"",INDEX(ПРОФЕССИИ!$F$5:$H$39,MATCH($P87,ПРОФЕССИИ!$A$5:$A$39,0),$Q87))</f>
        <v/>
      </c>
      <c r="T87" s="44"/>
      <c r="U87" s="44"/>
      <c r="V87" s="47" t="str">
        <f aca="false">IF($O87="","",IF(COUNTIFS($N$5:$N$124,$N87,$O$5:$O$124,$O87,$P$5:$P$124,$P87)&gt;1,"повтор в этом цикле!","")&amp;IF(COUNTIFS($A$5:$A$76,$O87,$D$5:$D$76,$P87)=0," такой профессии нет у компании (найм?)",""))</f>
        <v/>
      </c>
    </row>
    <row r="88" customFormat="false" ht="15" hidden="false" customHeight="false" outlineLevel="0" collapsed="false">
      <c r="N88" s="44"/>
      <c r="O88" s="44"/>
      <c r="P88" s="44"/>
      <c r="Q88" s="37" t="str">
        <f aca="false">IF(OR($O88="",$P88=""),"",MAX(1,SUMIFS($G$5:$G$76,$A$5:$A$76,$O88,$D$5:$D$76,$P88)))</f>
        <v/>
      </c>
      <c r="R88" s="37" t="str">
        <f aca="false">IF($P88="","",INDEX(ПРОФЕССИИ!$E$5:$E$39,MATCH($P88,ПРОФЕССИИ!$A$5:$A$39,0)))</f>
        <v/>
      </c>
      <c r="S88" s="38" t="str">
        <f aca="false">IF(OR($P88="",$Q88=""),"",INDEX(ПРОФЕССИИ!$F$5:$H$39,MATCH($P88,ПРОФЕССИИ!$A$5:$A$39,0),$Q88))</f>
        <v/>
      </c>
      <c r="T88" s="44"/>
      <c r="U88" s="44"/>
      <c r="V88" s="47" t="str">
        <f aca="false">IF($O88="","",IF(COUNTIFS($N$5:$N$124,$N88,$O$5:$O$124,$O88,$P$5:$P$124,$P88)&gt;1,"повтор в этом цикле!","")&amp;IF(COUNTIFS($A$5:$A$76,$O88,$D$5:$D$76,$P88)=0," такой профессии нет у компании (найм?)",""))</f>
        <v/>
      </c>
    </row>
    <row r="89" customFormat="false" ht="15" hidden="false" customHeight="false" outlineLevel="0" collapsed="false">
      <c r="N89" s="44"/>
      <c r="O89" s="44"/>
      <c r="P89" s="44"/>
      <c r="Q89" s="37" t="str">
        <f aca="false">IF(OR($O89="",$P89=""),"",MAX(1,SUMIFS($G$5:$G$76,$A$5:$A$76,$O89,$D$5:$D$76,$P89)))</f>
        <v/>
      </c>
      <c r="R89" s="37" t="str">
        <f aca="false">IF($P89="","",INDEX(ПРОФЕССИИ!$E$5:$E$39,MATCH($P89,ПРОФЕССИИ!$A$5:$A$39,0)))</f>
        <v/>
      </c>
      <c r="S89" s="38" t="str">
        <f aca="false">IF(OR($P89="",$Q89=""),"",INDEX(ПРОФЕССИИ!$F$5:$H$39,MATCH($P89,ПРОФЕССИИ!$A$5:$A$39,0),$Q89))</f>
        <v/>
      </c>
      <c r="T89" s="44"/>
      <c r="U89" s="44"/>
      <c r="V89" s="47" t="str">
        <f aca="false">IF($O89="","",IF(COUNTIFS($N$5:$N$124,$N89,$O$5:$O$124,$O89,$P$5:$P$124,$P89)&gt;1,"повтор в этом цикле!","")&amp;IF(COUNTIFS($A$5:$A$76,$O89,$D$5:$D$76,$P89)=0," такой профессии нет у компании (найм?)",""))</f>
        <v/>
      </c>
    </row>
    <row r="90" customFormat="false" ht="15" hidden="false" customHeight="false" outlineLevel="0" collapsed="false">
      <c r="N90" s="44"/>
      <c r="O90" s="44"/>
      <c r="P90" s="44"/>
      <c r="Q90" s="37" t="str">
        <f aca="false">IF(OR($O90="",$P90=""),"",MAX(1,SUMIFS($G$5:$G$76,$A$5:$A$76,$O90,$D$5:$D$76,$P90)))</f>
        <v/>
      </c>
      <c r="R90" s="37" t="str">
        <f aca="false">IF($P90="","",INDEX(ПРОФЕССИИ!$E$5:$E$39,MATCH($P90,ПРОФЕССИИ!$A$5:$A$39,0)))</f>
        <v/>
      </c>
      <c r="S90" s="38" t="str">
        <f aca="false">IF(OR($P90="",$Q90=""),"",INDEX(ПРОФЕССИИ!$F$5:$H$39,MATCH($P90,ПРОФЕССИИ!$A$5:$A$39,0),$Q90))</f>
        <v/>
      </c>
      <c r="T90" s="44"/>
      <c r="U90" s="44"/>
      <c r="V90" s="47" t="str">
        <f aca="false">IF($O90="","",IF(COUNTIFS($N$5:$N$124,$N90,$O$5:$O$124,$O90,$P$5:$P$124,$P90)&gt;1,"повтор в этом цикле!","")&amp;IF(COUNTIFS($A$5:$A$76,$O90,$D$5:$D$76,$P90)=0," такой профессии нет у компании (найм?)",""))</f>
        <v/>
      </c>
    </row>
    <row r="91" customFormat="false" ht="15" hidden="false" customHeight="false" outlineLevel="0" collapsed="false">
      <c r="N91" s="44"/>
      <c r="O91" s="44"/>
      <c r="P91" s="44"/>
      <c r="Q91" s="37" t="str">
        <f aca="false">IF(OR($O91="",$P91=""),"",MAX(1,SUMIFS($G$5:$G$76,$A$5:$A$76,$O91,$D$5:$D$76,$P91)))</f>
        <v/>
      </c>
      <c r="R91" s="37" t="str">
        <f aca="false">IF($P91="","",INDEX(ПРОФЕССИИ!$E$5:$E$39,MATCH($P91,ПРОФЕССИИ!$A$5:$A$39,0)))</f>
        <v/>
      </c>
      <c r="S91" s="38" t="str">
        <f aca="false">IF(OR($P91="",$Q91=""),"",INDEX(ПРОФЕССИИ!$F$5:$H$39,MATCH($P91,ПРОФЕССИИ!$A$5:$A$39,0),$Q91))</f>
        <v/>
      </c>
      <c r="T91" s="44"/>
      <c r="U91" s="44"/>
      <c r="V91" s="47" t="str">
        <f aca="false">IF($O91="","",IF(COUNTIFS($N$5:$N$124,$N91,$O$5:$O$124,$O91,$P$5:$P$124,$P91)&gt;1,"повтор в этом цикле!","")&amp;IF(COUNTIFS($A$5:$A$76,$O91,$D$5:$D$76,$P91)=0," такой профессии нет у компании (найм?)",""))</f>
        <v/>
      </c>
    </row>
    <row r="92" customFormat="false" ht="15" hidden="false" customHeight="false" outlineLevel="0" collapsed="false">
      <c r="N92" s="44"/>
      <c r="O92" s="44"/>
      <c r="P92" s="44"/>
      <c r="Q92" s="37" t="str">
        <f aca="false">IF(OR($O92="",$P92=""),"",MAX(1,SUMIFS($G$5:$G$76,$A$5:$A$76,$O92,$D$5:$D$76,$P92)))</f>
        <v/>
      </c>
      <c r="R92" s="37" t="str">
        <f aca="false">IF($P92="","",INDEX(ПРОФЕССИИ!$E$5:$E$39,MATCH($P92,ПРОФЕССИИ!$A$5:$A$39,0)))</f>
        <v/>
      </c>
      <c r="S92" s="38" t="str">
        <f aca="false">IF(OR($P92="",$Q92=""),"",INDEX(ПРОФЕССИИ!$F$5:$H$39,MATCH($P92,ПРОФЕССИИ!$A$5:$A$39,0),$Q92))</f>
        <v/>
      </c>
      <c r="T92" s="44"/>
      <c r="U92" s="44"/>
      <c r="V92" s="47" t="str">
        <f aca="false">IF($O92="","",IF(COUNTIFS($N$5:$N$124,$N92,$O$5:$O$124,$O92,$P$5:$P$124,$P92)&gt;1,"повтор в этом цикле!","")&amp;IF(COUNTIFS($A$5:$A$76,$O92,$D$5:$D$76,$P92)=0," такой профессии нет у компании (найм?)",""))</f>
        <v/>
      </c>
    </row>
    <row r="93" customFormat="false" ht="15" hidden="false" customHeight="false" outlineLevel="0" collapsed="false">
      <c r="N93" s="44"/>
      <c r="O93" s="44"/>
      <c r="P93" s="44"/>
      <c r="Q93" s="37" t="str">
        <f aca="false">IF(OR($O93="",$P93=""),"",MAX(1,SUMIFS($G$5:$G$76,$A$5:$A$76,$O93,$D$5:$D$76,$P93)))</f>
        <v/>
      </c>
      <c r="R93" s="37" t="str">
        <f aca="false">IF($P93="","",INDEX(ПРОФЕССИИ!$E$5:$E$39,MATCH($P93,ПРОФЕССИИ!$A$5:$A$39,0)))</f>
        <v/>
      </c>
      <c r="S93" s="38" t="str">
        <f aca="false">IF(OR($P93="",$Q93=""),"",INDEX(ПРОФЕССИИ!$F$5:$H$39,MATCH($P93,ПРОФЕССИИ!$A$5:$A$39,0),$Q93))</f>
        <v/>
      </c>
      <c r="T93" s="44"/>
      <c r="U93" s="44"/>
      <c r="V93" s="47" t="str">
        <f aca="false">IF($O93="","",IF(COUNTIFS($N$5:$N$124,$N93,$O$5:$O$124,$O93,$P$5:$P$124,$P93)&gt;1,"повтор в этом цикле!","")&amp;IF(COUNTIFS($A$5:$A$76,$O93,$D$5:$D$76,$P93)=0," такой профессии нет у компании (найм?)",""))</f>
        <v/>
      </c>
    </row>
    <row r="94" customFormat="false" ht="15" hidden="false" customHeight="false" outlineLevel="0" collapsed="false">
      <c r="N94" s="44"/>
      <c r="O94" s="44"/>
      <c r="P94" s="44"/>
      <c r="Q94" s="37" t="str">
        <f aca="false">IF(OR($O94="",$P94=""),"",MAX(1,SUMIFS($G$5:$G$76,$A$5:$A$76,$O94,$D$5:$D$76,$P94)))</f>
        <v/>
      </c>
      <c r="R94" s="37" t="str">
        <f aca="false">IF($P94="","",INDEX(ПРОФЕССИИ!$E$5:$E$39,MATCH($P94,ПРОФЕССИИ!$A$5:$A$39,0)))</f>
        <v/>
      </c>
      <c r="S94" s="38" t="str">
        <f aca="false">IF(OR($P94="",$Q94=""),"",INDEX(ПРОФЕССИИ!$F$5:$H$39,MATCH($P94,ПРОФЕССИИ!$A$5:$A$39,0),$Q94))</f>
        <v/>
      </c>
      <c r="T94" s="44"/>
      <c r="U94" s="44"/>
      <c r="V94" s="47" t="str">
        <f aca="false">IF($O94="","",IF(COUNTIFS($N$5:$N$124,$N94,$O$5:$O$124,$O94,$P$5:$P$124,$P94)&gt;1,"повтор в этом цикле!","")&amp;IF(COUNTIFS($A$5:$A$76,$O94,$D$5:$D$76,$P94)=0," такой профессии нет у компании (найм?)",""))</f>
        <v/>
      </c>
    </row>
    <row r="95" customFormat="false" ht="15" hidden="false" customHeight="false" outlineLevel="0" collapsed="false">
      <c r="N95" s="44"/>
      <c r="O95" s="44"/>
      <c r="P95" s="44"/>
      <c r="Q95" s="37" t="str">
        <f aca="false">IF(OR($O95="",$P95=""),"",MAX(1,SUMIFS($G$5:$G$76,$A$5:$A$76,$O95,$D$5:$D$76,$P95)))</f>
        <v/>
      </c>
      <c r="R95" s="37" t="str">
        <f aca="false">IF($P95="","",INDEX(ПРОФЕССИИ!$E$5:$E$39,MATCH($P95,ПРОФЕССИИ!$A$5:$A$39,0)))</f>
        <v/>
      </c>
      <c r="S95" s="38" t="str">
        <f aca="false">IF(OR($P95="",$Q95=""),"",INDEX(ПРОФЕССИИ!$F$5:$H$39,MATCH($P95,ПРОФЕССИИ!$A$5:$A$39,0),$Q95))</f>
        <v/>
      </c>
      <c r="T95" s="44"/>
      <c r="U95" s="44"/>
      <c r="V95" s="47" t="str">
        <f aca="false">IF($O95="","",IF(COUNTIFS($N$5:$N$124,$N95,$O$5:$O$124,$O95,$P$5:$P$124,$P95)&gt;1,"повтор в этом цикле!","")&amp;IF(COUNTIFS($A$5:$A$76,$O95,$D$5:$D$76,$P95)=0," такой профессии нет у компании (найм?)",""))</f>
        <v/>
      </c>
    </row>
    <row r="96" customFormat="false" ht="15" hidden="false" customHeight="false" outlineLevel="0" collapsed="false">
      <c r="N96" s="44"/>
      <c r="O96" s="44"/>
      <c r="P96" s="44"/>
      <c r="Q96" s="37" t="str">
        <f aca="false">IF(OR($O96="",$P96=""),"",MAX(1,SUMIFS($G$5:$G$76,$A$5:$A$76,$O96,$D$5:$D$76,$P96)))</f>
        <v/>
      </c>
      <c r="R96" s="37" t="str">
        <f aca="false">IF($P96="","",INDEX(ПРОФЕССИИ!$E$5:$E$39,MATCH($P96,ПРОФЕССИИ!$A$5:$A$39,0)))</f>
        <v/>
      </c>
      <c r="S96" s="38" t="str">
        <f aca="false">IF(OR($P96="",$Q96=""),"",INDEX(ПРОФЕССИИ!$F$5:$H$39,MATCH($P96,ПРОФЕССИИ!$A$5:$A$39,0),$Q96))</f>
        <v/>
      </c>
      <c r="T96" s="44"/>
      <c r="U96" s="44"/>
      <c r="V96" s="47" t="str">
        <f aca="false">IF($O96="","",IF(COUNTIFS($N$5:$N$124,$N96,$O$5:$O$124,$O96,$P$5:$P$124,$P96)&gt;1,"повтор в этом цикле!","")&amp;IF(COUNTIFS($A$5:$A$76,$O96,$D$5:$D$76,$P96)=0," такой профессии нет у компании (найм?)",""))</f>
        <v/>
      </c>
    </row>
    <row r="97" customFormat="false" ht="15" hidden="false" customHeight="false" outlineLevel="0" collapsed="false">
      <c r="N97" s="44"/>
      <c r="O97" s="44"/>
      <c r="P97" s="44"/>
      <c r="Q97" s="37" t="str">
        <f aca="false">IF(OR($O97="",$P97=""),"",MAX(1,SUMIFS($G$5:$G$76,$A$5:$A$76,$O97,$D$5:$D$76,$P97)))</f>
        <v/>
      </c>
      <c r="R97" s="37" t="str">
        <f aca="false">IF($P97="","",INDEX(ПРОФЕССИИ!$E$5:$E$39,MATCH($P97,ПРОФЕССИИ!$A$5:$A$39,0)))</f>
        <v/>
      </c>
      <c r="S97" s="38" t="str">
        <f aca="false">IF(OR($P97="",$Q97=""),"",INDEX(ПРОФЕССИИ!$F$5:$H$39,MATCH($P97,ПРОФЕССИИ!$A$5:$A$39,0),$Q97))</f>
        <v/>
      </c>
      <c r="T97" s="44"/>
      <c r="U97" s="44"/>
      <c r="V97" s="47" t="str">
        <f aca="false">IF($O97="","",IF(COUNTIFS($N$5:$N$124,$N97,$O$5:$O$124,$O97,$P$5:$P$124,$P97)&gt;1,"повтор в этом цикле!","")&amp;IF(COUNTIFS($A$5:$A$76,$O97,$D$5:$D$76,$P97)=0," такой профессии нет у компании (найм?)",""))</f>
        <v/>
      </c>
    </row>
    <row r="98" customFormat="false" ht="15" hidden="false" customHeight="false" outlineLevel="0" collapsed="false">
      <c r="N98" s="44"/>
      <c r="O98" s="44"/>
      <c r="P98" s="44"/>
      <c r="Q98" s="37" t="str">
        <f aca="false">IF(OR($O98="",$P98=""),"",MAX(1,SUMIFS($G$5:$G$76,$A$5:$A$76,$O98,$D$5:$D$76,$P98)))</f>
        <v/>
      </c>
      <c r="R98" s="37" t="str">
        <f aca="false">IF($P98="","",INDEX(ПРОФЕССИИ!$E$5:$E$39,MATCH($P98,ПРОФЕССИИ!$A$5:$A$39,0)))</f>
        <v/>
      </c>
      <c r="S98" s="38" t="str">
        <f aca="false">IF(OR($P98="",$Q98=""),"",INDEX(ПРОФЕССИИ!$F$5:$H$39,MATCH($P98,ПРОФЕССИИ!$A$5:$A$39,0),$Q98))</f>
        <v/>
      </c>
      <c r="T98" s="44"/>
      <c r="U98" s="44"/>
      <c r="V98" s="47" t="str">
        <f aca="false">IF($O98="","",IF(COUNTIFS($N$5:$N$124,$N98,$O$5:$O$124,$O98,$P$5:$P$124,$P98)&gt;1,"повтор в этом цикле!","")&amp;IF(COUNTIFS($A$5:$A$76,$O98,$D$5:$D$76,$P98)=0," такой профессии нет у компании (найм?)",""))</f>
        <v/>
      </c>
    </row>
    <row r="99" customFormat="false" ht="15" hidden="false" customHeight="false" outlineLevel="0" collapsed="false">
      <c r="N99" s="44"/>
      <c r="O99" s="44"/>
      <c r="P99" s="44"/>
      <c r="Q99" s="37" t="str">
        <f aca="false">IF(OR($O99="",$P99=""),"",MAX(1,SUMIFS($G$5:$G$76,$A$5:$A$76,$O99,$D$5:$D$76,$P99)))</f>
        <v/>
      </c>
      <c r="R99" s="37" t="str">
        <f aca="false">IF($P99="","",INDEX(ПРОФЕССИИ!$E$5:$E$39,MATCH($P99,ПРОФЕССИИ!$A$5:$A$39,0)))</f>
        <v/>
      </c>
      <c r="S99" s="38" t="str">
        <f aca="false">IF(OR($P99="",$Q99=""),"",INDEX(ПРОФЕССИИ!$F$5:$H$39,MATCH($P99,ПРОФЕССИИ!$A$5:$A$39,0),$Q99))</f>
        <v/>
      </c>
      <c r="T99" s="44"/>
      <c r="U99" s="44"/>
      <c r="V99" s="47" t="str">
        <f aca="false">IF($O99="","",IF(COUNTIFS($N$5:$N$124,$N99,$O$5:$O$124,$O99,$P$5:$P$124,$P99)&gt;1,"повтор в этом цикле!","")&amp;IF(COUNTIFS($A$5:$A$76,$O99,$D$5:$D$76,$P99)=0," такой профессии нет у компании (найм?)",""))</f>
        <v/>
      </c>
    </row>
    <row r="100" customFormat="false" ht="15" hidden="false" customHeight="false" outlineLevel="0" collapsed="false">
      <c r="N100" s="44"/>
      <c r="O100" s="44"/>
      <c r="P100" s="44"/>
      <c r="Q100" s="37" t="str">
        <f aca="false">IF(OR($O100="",$P100=""),"",MAX(1,SUMIFS($G$5:$G$76,$A$5:$A$76,$O100,$D$5:$D$76,$P100)))</f>
        <v/>
      </c>
      <c r="R100" s="37" t="str">
        <f aca="false">IF($P100="","",INDEX(ПРОФЕССИИ!$E$5:$E$39,MATCH($P100,ПРОФЕССИИ!$A$5:$A$39,0)))</f>
        <v/>
      </c>
      <c r="S100" s="38" t="str">
        <f aca="false">IF(OR($P100="",$Q100=""),"",INDEX(ПРОФЕССИИ!$F$5:$H$39,MATCH($P100,ПРОФЕССИИ!$A$5:$A$39,0),$Q100))</f>
        <v/>
      </c>
      <c r="T100" s="44"/>
      <c r="U100" s="44"/>
      <c r="V100" s="47" t="str">
        <f aca="false">IF($O100="","",IF(COUNTIFS($N$5:$N$124,$N100,$O$5:$O$124,$O100,$P$5:$P$124,$P100)&gt;1,"повтор в этом цикле!","")&amp;IF(COUNTIFS($A$5:$A$76,$O100,$D$5:$D$76,$P100)=0," такой профессии нет у компании (найм?)",""))</f>
        <v/>
      </c>
    </row>
    <row r="101" customFormat="false" ht="15" hidden="false" customHeight="false" outlineLevel="0" collapsed="false">
      <c r="N101" s="44"/>
      <c r="O101" s="44"/>
      <c r="P101" s="44"/>
      <c r="Q101" s="37" t="str">
        <f aca="false">IF(OR($O101="",$P101=""),"",MAX(1,SUMIFS($G$5:$G$76,$A$5:$A$76,$O101,$D$5:$D$76,$P101)))</f>
        <v/>
      </c>
      <c r="R101" s="37" t="str">
        <f aca="false">IF($P101="","",INDEX(ПРОФЕССИИ!$E$5:$E$39,MATCH($P101,ПРОФЕССИИ!$A$5:$A$39,0)))</f>
        <v/>
      </c>
      <c r="S101" s="38" t="str">
        <f aca="false">IF(OR($P101="",$Q101=""),"",INDEX(ПРОФЕССИИ!$F$5:$H$39,MATCH($P101,ПРОФЕССИИ!$A$5:$A$39,0),$Q101))</f>
        <v/>
      </c>
      <c r="T101" s="44"/>
      <c r="U101" s="44"/>
      <c r="V101" s="47" t="str">
        <f aca="false">IF($O101="","",IF(COUNTIFS($N$5:$N$124,$N101,$O$5:$O$124,$O101,$P$5:$P$124,$P101)&gt;1,"повтор в этом цикле!","")&amp;IF(COUNTIFS($A$5:$A$76,$O101,$D$5:$D$76,$P101)=0," такой профессии нет у компании (найм?)",""))</f>
        <v/>
      </c>
    </row>
    <row r="102" customFormat="false" ht="15" hidden="false" customHeight="false" outlineLevel="0" collapsed="false">
      <c r="N102" s="44"/>
      <c r="O102" s="44"/>
      <c r="P102" s="44"/>
      <c r="Q102" s="37" t="str">
        <f aca="false">IF(OR($O102="",$P102=""),"",MAX(1,SUMIFS($G$5:$G$76,$A$5:$A$76,$O102,$D$5:$D$76,$P102)))</f>
        <v/>
      </c>
      <c r="R102" s="37" t="str">
        <f aca="false">IF($P102="","",INDEX(ПРОФЕССИИ!$E$5:$E$39,MATCH($P102,ПРОФЕССИИ!$A$5:$A$39,0)))</f>
        <v/>
      </c>
      <c r="S102" s="38" t="str">
        <f aca="false">IF(OR($P102="",$Q102=""),"",INDEX(ПРОФЕССИИ!$F$5:$H$39,MATCH($P102,ПРОФЕССИИ!$A$5:$A$39,0),$Q102))</f>
        <v/>
      </c>
      <c r="T102" s="44"/>
      <c r="U102" s="44"/>
      <c r="V102" s="47" t="str">
        <f aca="false">IF($O102="","",IF(COUNTIFS($N$5:$N$124,$N102,$O$5:$O$124,$O102,$P$5:$P$124,$P102)&gt;1,"повтор в этом цикле!","")&amp;IF(COUNTIFS($A$5:$A$76,$O102,$D$5:$D$76,$P102)=0," такой профессии нет у компании (найм?)",""))</f>
        <v/>
      </c>
    </row>
    <row r="103" customFormat="false" ht="15" hidden="false" customHeight="false" outlineLevel="0" collapsed="false">
      <c r="N103" s="44"/>
      <c r="O103" s="44"/>
      <c r="P103" s="44"/>
      <c r="Q103" s="37" t="str">
        <f aca="false">IF(OR($O103="",$P103=""),"",MAX(1,SUMIFS($G$5:$G$76,$A$5:$A$76,$O103,$D$5:$D$76,$P103)))</f>
        <v/>
      </c>
      <c r="R103" s="37" t="str">
        <f aca="false">IF($P103="","",INDEX(ПРОФЕССИИ!$E$5:$E$39,MATCH($P103,ПРОФЕССИИ!$A$5:$A$39,0)))</f>
        <v/>
      </c>
      <c r="S103" s="38" t="str">
        <f aca="false">IF(OR($P103="",$Q103=""),"",INDEX(ПРОФЕССИИ!$F$5:$H$39,MATCH($P103,ПРОФЕССИИ!$A$5:$A$39,0),$Q103))</f>
        <v/>
      </c>
      <c r="T103" s="44"/>
      <c r="U103" s="44"/>
      <c r="V103" s="47" t="str">
        <f aca="false">IF($O103="","",IF(COUNTIFS($N$5:$N$124,$N103,$O$5:$O$124,$O103,$P$5:$P$124,$P103)&gt;1,"повтор в этом цикле!","")&amp;IF(COUNTIFS($A$5:$A$76,$O103,$D$5:$D$76,$P103)=0," такой профессии нет у компании (найм?)",""))</f>
        <v/>
      </c>
    </row>
    <row r="104" customFormat="false" ht="15" hidden="false" customHeight="false" outlineLevel="0" collapsed="false">
      <c r="N104" s="44"/>
      <c r="O104" s="44"/>
      <c r="P104" s="44"/>
      <c r="Q104" s="37" t="str">
        <f aca="false">IF(OR($O104="",$P104=""),"",MAX(1,SUMIFS($G$5:$G$76,$A$5:$A$76,$O104,$D$5:$D$76,$P104)))</f>
        <v/>
      </c>
      <c r="R104" s="37" t="str">
        <f aca="false">IF($P104="","",INDEX(ПРОФЕССИИ!$E$5:$E$39,MATCH($P104,ПРОФЕССИИ!$A$5:$A$39,0)))</f>
        <v/>
      </c>
      <c r="S104" s="38" t="str">
        <f aca="false">IF(OR($P104="",$Q104=""),"",INDEX(ПРОФЕССИИ!$F$5:$H$39,MATCH($P104,ПРОФЕССИИ!$A$5:$A$39,0),$Q104))</f>
        <v/>
      </c>
      <c r="T104" s="44"/>
      <c r="U104" s="44"/>
      <c r="V104" s="47" t="str">
        <f aca="false">IF($O104="","",IF(COUNTIFS($N$5:$N$124,$N104,$O$5:$O$124,$O104,$P$5:$P$124,$P104)&gt;1,"повтор в этом цикле!","")&amp;IF(COUNTIFS($A$5:$A$76,$O104,$D$5:$D$76,$P104)=0," такой профессии нет у компании (найм?)",""))</f>
        <v/>
      </c>
    </row>
    <row r="105" customFormat="false" ht="15" hidden="false" customHeight="false" outlineLevel="0" collapsed="false">
      <c r="N105" s="44"/>
      <c r="O105" s="44"/>
      <c r="P105" s="44"/>
      <c r="Q105" s="37" t="str">
        <f aca="false">IF(OR($O105="",$P105=""),"",MAX(1,SUMIFS($G$5:$G$76,$A$5:$A$76,$O105,$D$5:$D$76,$P105)))</f>
        <v/>
      </c>
      <c r="R105" s="37" t="str">
        <f aca="false">IF($P105="","",INDEX(ПРОФЕССИИ!$E$5:$E$39,MATCH($P105,ПРОФЕССИИ!$A$5:$A$39,0)))</f>
        <v/>
      </c>
      <c r="S105" s="38" t="str">
        <f aca="false">IF(OR($P105="",$Q105=""),"",INDEX(ПРОФЕССИИ!$F$5:$H$39,MATCH($P105,ПРОФЕССИИ!$A$5:$A$39,0),$Q105))</f>
        <v/>
      </c>
      <c r="T105" s="44"/>
      <c r="U105" s="44"/>
      <c r="V105" s="47" t="str">
        <f aca="false">IF($O105="","",IF(COUNTIFS($N$5:$N$124,$N105,$O$5:$O$124,$O105,$P$5:$P$124,$P105)&gt;1,"повтор в этом цикле!","")&amp;IF(COUNTIFS($A$5:$A$76,$O105,$D$5:$D$76,$P105)=0," такой профессии нет у компании (найм?)",""))</f>
        <v/>
      </c>
    </row>
    <row r="106" customFormat="false" ht="15" hidden="false" customHeight="false" outlineLevel="0" collapsed="false">
      <c r="N106" s="44"/>
      <c r="O106" s="44"/>
      <c r="P106" s="44"/>
      <c r="Q106" s="37" t="str">
        <f aca="false">IF(OR($O106="",$P106=""),"",MAX(1,SUMIFS($G$5:$G$76,$A$5:$A$76,$O106,$D$5:$D$76,$P106)))</f>
        <v/>
      </c>
      <c r="R106" s="37" t="str">
        <f aca="false">IF($P106="","",INDEX(ПРОФЕССИИ!$E$5:$E$39,MATCH($P106,ПРОФЕССИИ!$A$5:$A$39,0)))</f>
        <v/>
      </c>
      <c r="S106" s="38" t="str">
        <f aca="false">IF(OR($P106="",$Q106=""),"",INDEX(ПРОФЕССИИ!$F$5:$H$39,MATCH($P106,ПРОФЕССИИ!$A$5:$A$39,0),$Q106))</f>
        <v/>
      </c>
      <c r="T106" s="44"/>
      <c r="U106" s="44"/>
      <c r="V106" s="47" t="str">
        <f aca="false">IF($O106="","",IF(COUNTIFS($N$5:$N$124,$N106,$O$5:$O$124,$O106,$P$5:$P$124,$P106)&gt;1,"повтор в этом цикле!","")&amp;IF(COUNTIFS($A$5:$A$76,$O106,$D$5:$D$76,$P106)=0," такой профессии нет у компании (найм?)",""))</f>
        <v/>
      </c>
    </row>
    <row r="107" customFormat="false" ht="15" hidden="false" customHeight="false" outlineLevel="0" collapsed="false">
      <c r="N107" s="44"/>
      <c r="O107" s="44"/>
      <c r="P107" s="44"/>
      <c r="Q107" s="37" t="str">
        <f aca="false">IF(OR($O107="",$P107=""),"",MAX(1,SUMIFS($G$5:$G$76,$A$5:$A$76,$O107,$D$5:$D$76,$P107)))</f>
        <v/>
      </c>
      <c r="R107" s="37" t="str">
        <f aca="false">IF($P107="","",INDEX(ПРОФЕССИИ!$E$5:$E$39,MATCH($P107,ПРОФЕССИИ!$A$5:$A$39,0)))</f>
        <v/>
      </c>
      <c r="S107" s="38" t="str">
        <f aca="false">IF(OR($P107="",$Q107=""),"",INDEX(ПРОФЕССИИ!$F$5:$H$39,MATCH($P107,ПРОФЕССИИ!$A$5:$A$39,0),$Q107))</f>
        <v/>
      </c>
      <c r="T107" s="44"/>
      <c r="U107" s="44"/>
      <c r="V107" s="47" t="str">
        <f aca="false">IF($O107="","",IF(COUNTIFS($N$5:$N$124,$N107,$O$5:$O$124,$O107,$P$5:$P$124,$P107)&gt;1,"повтор в этом цикле!","")&amp;IF(COUNTIFS($A$5:$A$76,$O107,$D$5:$D$76,$P107)=0," такой профессии нет у компании (найм?)",""))</f>
        <v/>
      </c>
    </row>
    <row r="108" customFormat="false" ht="15" hidden="false" customHeight="false" outlineLevel="0" collapsed="false">
      <c r="N108" s="44"/>
      <c r="O108" s="44"/>
      <c r="P108" s="44"/>
      <c r="Q108" s="37" t="str">
        <f aca="false">IF(OR($O108="",$P108=""),"",MAX(1,SUMIFS($G$5:$G$76,$A$5:$A$76,$O108,$D$5:$D$76,$P108)))</f>
        <v/>
      </c>
      <c r="R108" s="37" t="str">
        <f aca="false">IF($P108="","",INDEX(ПРОФЕССИИ!$E$5:$E$39,MATCH($P108,ПРОФЕССИИ!$A$5:$A$39,0)))</f>
        <v/>
      </c>
      <c r="S108" s="38" t="str">
        <f aca="false">IF(OR($P108="",$Q108=""),"",INDEX(ПРОФЕССИИ!$F$5:$H$39,MATCH($P108,ПРОФЕССИИ!$A$5:$A$39,0),$Q108))</f>
        <v/>
      </c>
      <c r="T108" s="44"/>
      <c r="U108" s="44"/>
      <c r="V108" s="47" t="str">
        <f aca="false">IF($O108="","",IF(COUNTIFS($N$5:$N$124,$N108,$O$5:$O$124,$O108,$P$5:$P$124,$P108)&gt;1,"повтор в этом цикле!","")&amp;IF(COUNTIFS($A$5:$A$76,$O108,$D$5:$D$76,$P108)=0," такой профессии нет у компании (найм?)",""))</f>
        <v/>
      </c>
    </row>
    <row r="109" customFormat="false" ht="15" hidden="false" customHeight="false" outlineLevel="0" collapsed="false">
      <c r="N109" s="44"/>
      <c r="O109" s="44"/>
      <c r="P109" s="44"/>
      <c r="Q109" s="37" t="str">
        <f aca="false">IF(OR($O109="",$P109=""),"",MAX(1,SUMIFS($G$5:$G$76,$A$5:$A$76,$O109,$D$5:$D$76,$P109)))</f>
        <v/>
      </c>
      <c r="R109" s="37" t="str">
        <f aca="false">IF($P109="","",INDEX(ПРОФЕССИИ!$E$5:$E$39,MATCH($P109,ПРОФЕССИИ!$A$5:$A$39,0)))</f>
        <v/>
      </c>
      <c r="S109" s="38" t="str">
        <f aca="false">IF(OR($P109="",$Q109=""),"",INDEX(ПРОФЕССИИ!$F$5:$H$39,MATCH($P109,ПРОФЕССИИ!$A$5:$A$39,0),$Q109))</f>
        <v/>
      </c>
      <c r="T109" s="44"/>
      <c r="U109" s="44"/>
      <c r="V109" s="47" t="str">
        <f aca="false">IF($O109="","",IF(COUNTIFS($N$5:$N$124,$N109,$O$5:$O$124,$O109,$P$5:$P$124,$P109)&gt;1,"повтор в этом цикле!","")&amp;IF(COUNTIFS($A$5:$A$76,$O109,$D$5:$D$76,$P109)=0," такой профессии нет у компании (найм?)",""))</f>
        <v/>
      </c>
    </row>
    <row r="110" customFormat="false" ht="15" hidden="false" customHeight="false" outlineLevel="0" collapsed="false">
      <c r="N110" s="44"/>
      <c r="O110" s="44"/>
      <c r="P110" s="44"/>
      <c r="Q110" s="37" t="str">
        <f aca="false">IF(OR($O110="",$P110=""),"",MAX(1,SUMIFS($G$5:$G$76,$A$5:$A$76,$O110,$D$5:$D$76,$P110)))</f>
        <v/>
      </c>
      <c r="R110" s="37" t="str">
        <f aca="false">IF($P110="","",INDEX(ПРОФЕССИИ!$E$5:$E$39,MATCH($P110,ПРОФЕССИИ!$A$5:$A$39,0)))</f>
        <v/>
      </c>
      <c r="S110" s="38" t="str">
        <f aca="false">IF(OR($P110="",$Q110=""),"",INDEX(ПРОФЕССИИ!$F$5:$H$39,MATCH($P110,ПРОФЕССИИ!$A$5:$A$39,0),$Q110))</f>
        <v/>
      </c>
      <c r="T110" s="44"/>
      <c r="U110" s="44"/>
      <c r="V110" s="47" t="str">
        <f aca="false">IF($O110="","",IF(COUNTIFS($N$5:$N$124,$N110,$O$5:$O$124,$O110,$P$5:$P$124,$P110)&gt;1,"повтор в этом цикле!","")&amp;IF(COUNTIFS($A$5:$A$76,$O110,$D$5:$D$76,$P110)=0," такой профессии нет у компании (найм?)",""))</f>
        <v/>
      </c>
    </row>
    <row r="111" customFormat="false" ht="15" hidden="false" customHeight="false" outlineLevel="0" collapsed="false">
      <c r="N111" s="44"/>
      <c r="O111" s="44"/>
      <c r="P111" s="44"/>
      <c r="Q111" s="37" t="str">
        <f aca="false">IF(OR($O111="",$P111=""),"",MAX(1,SUMIFS($G$5:$G$76,$A$5:$A$76,$O111,$D$5:$D$76,$P111)))</f>
        <v/>
      </c>
      <c r="R111" s="37" t="str">
        <f aca="false">IF($P111="","",INDEX(ПРОФЕССИИ!$E$5:$E$39,MATCH($P111,ПРОФЕССИИ!$A$5:$A$39,0)))</f>
        <v/>
      </c>
      <c r="S111" s="38" t="str">
        <f aca="false">IF(OR($P111="",$Q111=""),"",INDEX(ПРОФЕССИИ!$F$5:$H$39,MATCH($P111,ПРОФЕССИИ!$A$5:$A$39,0),$Q111))</f>
        <v/>
      </c>
      <c r="T111" s="44"/>
      <c r="U111" s="44"/>
      <c r="V111" s="47" t="str">
        <f aca="false">IF($O111="","",IF(COUNTIFS($N$5:$N$124,$N111,$O$5:$O$124,$O111,$P$5:$P$124,$P111)&gt;1,"повтор в этом цикле!","")&amp;IF(COUNTIFS($A$5:$A$76,$O111,$D$5:$D$76,$P111)=0," такой профессии нет у компании (найм?)",""))</f>
        <v/>
      </c>
    </row>
    <row r="112" customFormat="false" ht="15" hidden="false" customHeight="false" outlineLevel="0" collapsed="false">
      <c r="N112" s="44"/>
      <c r="O112" s="44"/>
      <c r="P112" s="44"/>
      <c r="Q112" s="37" t="str">
        <f aca="false">IF(OR($O112="",$P112=""),"",MAX(1,SUMIFS($G$5:$G$76,$A$5:$A$76,$O112,$D$5:$D$76,$P112)))</f>
        <v/>
      </c>
      <c r="R112" s="37" t="str">
        <f aca="false">IF($P112="","",INDEX(ПРОФЕССИИ!$E$5:$E$39,MATCH($P112,ПРОФЕССИИ!$A$5:$A$39,0)))</f>
        <v/>
      </c>
      <c r="S112" s="38" t="str">
        <f aca="false">IF(OR($P112="",$Q112=""),"",INDEX(ПРОФЕССИИ!$F$5:$H$39,MATCH($P112,ПРОФЕССИИ!$A$5:$A$39,0),$Q112))</f>
        <v/>
      </c>
      <c r="T112" s="44"/>
      <c r="U112" s="44"/>
      <c r="V112" s="47" t="str">
        <f aca="false">IF($O112="","",IF(COUNTIFS($N$5:$N$124,$N112,$O$5:$O$124,$O112,$P$5:$P$124,$P112)&gt;1,"повтор в этом цикле!","")&amp;IF(COUNTIFS($A$5:$A$76,$O112,$D$5:$D$76,$P112)=0," такой профессии нет у компании (найм?)",""))</f>
        <v/>
      </c>
    </row>
    <row r="113" customFormat="false" ht="15" hidden="false" customHeight="false" outlineLevel="0" collapsed="false">
      <c r="N113" s="44"/>
      <c r="O113" s="44"/>
      <c r="P113" s="44"/>
      <c r="Q113" s="37" t="str">
        <f aca="false">IF(OR($O113="",$P113=""),"",MAX(1,SUMIFS($G$5:$G$76,$A$5:$A$76,$O113,$D$5:$D$76,$P113)))</f>
        <v/>
      </c>
      <c r="R113" s="37" t="str">
        <f aca="false">IF($P113="","",INDEX(ПРОФЕССИИ!$E$5:$E$39,MATCH($P113,ПРОФЕССИИ!$A$5:$A$39,0)))</f>
        <v/>
      </c>
      <c r="S113" s="38" t="str">
        <f aca="false">IF(OR($P113="",$Q113=""),"",INDEX(ПРОФЕССИИ!$F$5:$H$39,MATCH($P113,ПРОФЕССИИ!$A$5:$A$39,0),$Q113))</f>
        <v/>
      </c>
      <c r="T113" s="44"/>
      <c r="U113" s="44"/>
      <c r="V113" s="47" t="str">
        <f aca="false">IF($O113="","",IF(COUNTIFS($N$5:$N$124,$N113,$O$5:$O$124,$O113,$P$5:$P$124,$P113)&gt;1,"повтор в этом цикле!","")&amp;IF(COUNTIFS($A$5:$A$76,$O113,$D$5:$D$76,$P113)=0," такой профессии нет у компании (найм?)",""))</f>
        <v/>
      </c>
    </row>
    <row r="114" customFormat="false" ht="15" hidden="false" customHeight="false" outlineLevel="0" collapsed="false">
      <c r="N114" s="44"/>
      <c r="O114" s="44"/>
      <c r="P114" s="44"/>
      <c r="Q114" s="37" t="str">
        <f aca="false">IF(OR($O114="",$P114=""),"",MAX(1,SUMIFS($G$5:$G$76,$A$5:$A$76,$O114,$D$5:$D$76,$P114)))</f>
        <v/>
      </c>
      <c r="R114" s="37" t="str">
        <f aca="false">IF($P114="","",INDEX(ПРОФЕССИИ!$E$5:$E$39,MATCH($P114,ПРОФЕССИИ!$A$5:$A$39,0)))</f>
        <v/>
      </c>
      <c r="S114" s="38" t="str">
        <f aca="false">IF(OR($P114="",$Q114=""),"",INDEX(ПРОФЕССИИ!$F$5:$H$39,MATCH($P114,ПРОФЕССИИ!$A$5:$A$39,0),$Q114))</f>
        <v/>
      </c>
      <c r="T114" s="44"/>
      <c r="U114" s="44"/>
      <c r="V114" s="47" t="str">
        <f aca="false">IF($O114="","",IF(COUNTIFS($N$5:$N$124,$N114,$O$5:$O$124,$O114,$P$5:$P$124,$P114)&gt;1,"повтор в этом цикле!","")&amp;IF(COUNTIFS($A$5:$A$76,$O114,$D$5:$D$76,$P114)=0," такой профессии нет у компании (найм?)",""))</f>
        <v/>
      </c>
    </row>
    <row r="115" customFormat="false" ht="15" hidden="false" customHeight="false" outlineLevel="0" collapsed="false">
      <c r="N115" s="44"/>
      <c r="O115" s="44"/>
      <c r="P115" s="44"/>
      <c r="Q115" s="37" t="str">
        <f aca="false">IF(OR($O115="",$P115=""),"",MAX(1,SUMIFS($G$5:$G$76,$A$5:$A$76,$O115,$D$5:$D$76,$P115)))</f>
        <v/>
      </c>
      <c r="R115" s="37" t="str">
        <f aca="false">IF($P115="","",INDEX(ПРОФЕССИИ!$E$5:$E$39,MATCH($P115,ПРОФЕССИИ!$A$5:$A$39,0)))</f>
        <v/>
      </c>
      <c r="S115" s="38" t="str">
        <f aca="false">IF(OR($P115="",$Q115=""),"",INDEX(ПРОФЕССИИ!$F$5:$H$39,MATCH($P115,ПРОФЕССИИ!$A$5:$A$39,0),$Q115))</f>
        <v/>
      </c>
      <c r="T115" s="44"/>
      <c r="U115" s="44"/>
      <c r="V115" s="47" t="str">
        <f aca="false">IF($O115="","",IF(COUNTIFS($N$5:$N$124,$N115,$O$5:$O$124,$O115,$P$5:$P$124,$P115)&gt;1,"повтор в этом цикле!","")&amp;IF(COUNTIFS($A$5:$A$76,$O115,$D$5:$D$76,$P115)=0," такой профессии нет у компании (найм?)",""))</f>
        <v/>
      </c>
    </row>
    <row r="116" customFormat="false" ht="15" hidden="false" customHeight="false" outlineLevel="0" collapsed="false">
      <c r="N116" s="44"/>
      <c r="O116" s="44"/>
      <c r="P116" s="44"/>
      <c r="Q116" s="37" t="str">
        <f aca="false">IF(OR($O116="",$P116=""),"",MAX(1,SUMIFS($G$5:$G$76,$A$5:$A$76,$O116,$D$5:$D$76,$P116)))</f>
        <v/>
      </c>
      <c r="R116" s="37" t="str">
        <f aca="false">IF($P116="","",INDEX(ПРОФЕССИИ!$E$5:$E$39,MATCH($P116,ПРОФЕССИИ!$A$5:$A$39,0)))</f>
        <v/>
      </c>
      <c r="S116" s="38" t="str">
        <f aca="false">IF(OR($P116="",$Q116=""),"",INDEX(ПРОФЕССИИ!$F$5:$H$39,MATCH($P116,ПРОФЕССИИ!$A$5:$A$39,0),$Q116))</f>
        <v/>
      </c>
      <c r="T116" s="44"/>
      <c r="U116" s="44"/>
      <c r="V116" s="47" t="str">
        <f aca="false">IF($O116="","",IF(COUNTIFS($N$5:$N$124,$N116,$O$5:$O$124,$O116,$P$5:$P$124,$P116)&gt;1,"повтор в этом цикле!","")&amp;IF(COUNTIFS($A$5:$A$76,$O116,$D$5:$D$76,$P116)=0," такой профессии нет у компании (найм?)",""))</f>
        <v/>
      </c>
    </row>
    <row r="117" customFormat="false" ht="15" hidden="false" customHeight="false" outlineLevel="0" collapsed="false">
      <c r="N117" s="44"/>
      <c r="O117" s="44"/>
      <c r="P117" s="44"/>
      <c r="Q117" s="37" t="str">
        <f aca="false">IF(OR($O117="",$P117=""),"",MAX(1,SUMIFS($G$5:$G$76,$A$5:$A$76,$O117,$D$5:$D$76,$P117)))</f>
        <v/>
      </c>
      <c r="R117" s="37" t="str">
        <f aca="false">IF($P117="","",INDEX(ПРОФЕССИИ!$E$5:$E$39,MATCH($P117,ПРОФЕССИИ!$A$5:$A$39,0)))</f>
        <v/>
      </c>
      <c r="S117" s="38" t="str">
        <f aca="false">IF(OR($P117="",$Q117=""),"",INDEX(ПРОФЕССИИ!$F$5:$H$39,MATCH($P117,ПРОФЕССИИ!$A$5:$A$39,0),$Q117))</f>
        <v/>
      </c>
      <c r="T117" s="44"/>
      <c r="U117" s="44"/>
      <c r="V117" s="47" t="str">
        <f aca="false">IF($O117="","",IF(COUNTIFS($N$5:$N$124,$N117,$O$5:$O$124,$O117,$P$5:$P$124,$P117)&gt;1,"повтор в этом цикле!","")&amp;IF(COUNTIFS($A$5:$A$76,$O117,$D$5:$D$76,$P117)=0," такой профессии нет у компании (найм?)",""))</f>
        <v/>
      </c>
    </row>
    <row r="118" customFormat="false" ht="15" hidden="false" customHeight="false" outlineLevel="0" collapsed="false">
      <c r="N118" s="44"/>
      <c r="O118" s="44"/>
      <c r="P118" s="44"/>
      <c r="Q118" s="37" t="str">
        <f aca="false">IF(OR($O118="",$P118=""),"",MAX(1,SUMIFS($G$5:$G$76,$A$5:$A$76,$O118,$D$5:$D$76,$P118)))</f>
        <v/>
      </c>
      <c r="R118" s="37" t="str">
        <f aca="false">IF($P118="","",INDEX(ПРОФЕССИИ!$E$5:$E$39,MATCH($P118,ПРОФЕССИИ!$A$5:$A$39,0)))</f>
        <v/>
      </c>
      <c r="S118" s="38" t="str">
        <f aca="false">IF(OR($P118="",$Q118=""),"",INDEX(ПРОФЕССИИ!$F$5:$H$39,MATCH($P118,ПРОФЕССИИ!$A$5:$A$39,0),$Q118))</f>
        <v/>
      </c>
      <c r="T118" s="44"/>
      <c r="U118" s="44"/>
      <c r="V118" s="47" t="str">
        <f aca="false">IF($O118="","",IF(COUNTIFS($N$5:$N$124,$N118,$O$5:$O$124,$O118,$P$5:$P$124,$P118)&gt;1,"повтор в этом цикле!","")&amp;IF(COUNTIFS($A$5:$A$76,$O118,$D$5:$D$76,$P118)=0," такой профессии нет у компании (найм?)",""))</f>
        <v/>
      </c>
    </row>
    <row r="119" customFormat="false" ht="15" hidden="false" customHeight="false" outlineLevel="0" collapsed="false">
      <c r="N119" s="44"/>
      <c r="O119" s="44"/>
      <c r="P119" s="44"/>
      <c r="Q119" s="37" t="str">
        <f aca="false">IF(OR($O119="",$P119=""),"",MAX(1,SUMIFS($G$5:$G$76,$A$5:$A$76,$O119,$D$5:$D$76,$P119)))</f>
        <v/>
      </c>
      <c r="R119" s="37" t="str">
        <f aca="false">IF($P119="","",INDEX(ПРОФЕССИИ!$E$5:$E$39,MATCH($P119,ПРОФЕССИИ!$A$5:$A$39,0)))</f>
        <v/>
      </c>
      <c r="S119" s="38" t="str">
        <f aca="false">IF(OR($P119="",$Q119=""),"",INDEX(ПРОФЕССИИ!$F$5:$H$39,MATCH($P119,ПРОФЕССИИ!$A$5:$A$39,0),$Q119))</f>
        <v/>
      </c>
      <c r="T119" s="44"/>
      <c r="U119" s="44"/>
      <c r="V119" s="47" t="str">
        <f aca="false">IF($O119="","",IF(COUNTIFS($N$5:$N$124,$N119,$O$5:$O$124,$O119,$P$5:$P$124,$P119)&gt;1,"повтор в этом цикле!","")&amp;IF(COUNTIFS($A$5:$A$76,$O119,$D$5:$D$76,$P119)=0," такой профессии нет у компании (найм?)",""))</f>
        <v/>
      </c>
    </row>
    <row r="120" customFormat="false" ht="15" hidden="false" customHeight="false" outlineLevel="0" collapsed="false">
      <c r="N120" s="44"/>
      <c r="O120" s="44"/>
      <c r="P120" s="44"/>
      <c r="Q120" s="37" t="str">
        <f aca="false">IF(OR($O120="",$P120=""),"",MAX(1,SUMIFS($G$5:$G$76,$A$5:$A$76,$O120,$D$5:$D$76,$P120)))</f>
        <v/>
      </c>
      <c r="R120" s="37" t="str">
        <f aca="false">IF($P120="","",INDEX(ПРОФЕССИИ!$E$5:$E$39,MATCH($P120,ПРОФЕССИИ!$A$5:$A$39,0)))</f>
        <v/>
      </c>
      <c r="S120" s="38" t="str">
        <f aca="false">IF(OR($P120="",$Q120=""),"",INDEX(ПРОФЕССИИ!$F$5:$H$39,MATCH($P120,ПРОФЕССИИ!$A$5:$A$39,0),$Q120))</f>
        <v/>
      </c>
      <c r="T120" s="44"/>
      <c r="U120" s="44"/>
      <c r="V120" s="47" t="str">
        <f aca="false">IF($O120="","",IF(COUNTIFS($N$5:$N$124,$N120,$O$5:$O$124,$O120,$P$5:$P$124,$P120)&gt;1,"повтор в этом цикле!","")&amp;IF(COUNTIFS($A$5:$A$76,$O120,$D$5:$D$76,$P120)=0," такой профессии нет у компании (найм?)",""))</f>
        <v/>
      </c>
    </row>
    <row r="121" customFormat="false" ht="15" hidden="false" customHeight="false" outlineLevel="0" collapsed="false">
      <c r="N121" s="44"/>
      <c r="O121" s="44"/>
      <c r="P121" s="44"/>
      <c r="Q121" s="37" t="str">
        <f aca="false">IF(OR($O121="",$P121=""),"",MAX(1,SUMIFS($G$5:$G$76,$A$5:$A$76,$O121,$D$5:$D$76,$P121)))</f>
        <v/>
      </c>
      <c r="R121" s="37" t="str">
        <f aca="false">IF($P121="","",INDEX(ПРОФЕССИИ!$E$5:$E$39,MATCH($P121,ПРОФЕССИИ!$A$5:$A$39,0)))</f>
        <v/>
      </c>
      <c r="S121" s="38" t="str">
        <f aca="false">IF(OR($P121="",$Q121=""),"",INDEX(ПРОФЕССИИ!$F$5:$H$39,MATCH($P121,ПРОФЕССИИ!$A$5:$A$39,0),$Q121))</f>
        <v/>
      </c>
      <c r="T121" s="44"/>
      <c r="U121" s="44"/>
      <c r="V121" s="47" t="str">
        <f aca="false">IF($O121="","",IF(COUNTIFS($N$5:$N$124,$N121,$O$5:$O$124,$O121,$P$5:$P$124,$P121)&gt;1,"повтор в этом цикле!","")&amp;IF(COUNTIFS($A$5:$A$76,$O121,$D$5:$D$76,$P121)=0," такой профессии нет у компании (найм?)",""))</f>
        <v/>
      </c>
    </row>
    <row r="122" customFormat="false" ht="15" hidden="false" customHeight="false" outlineLevel="0" collapsed="false">
      <c r="N122" s="44"/>
      <c r="O122" s="44"/>
      <c r="P122" s="44"/>
      <c r="Q122" s="37" t="str">
        <f aca="false">IF(OR($O122="",$P122=""),"",MAX(1,SUMIFS($G$5:$G$76,$A$5:$A$76,$O122,$D$5:$D$76,$P122)))</f>
        <v/>
      </c>
      <c r="R122" s="37" t="str">
        <f aca="false">IF($P122="","",INDEX(ПРОФЕССИИ!$E$5:$E$39,MATCH($P122,ПРОФЕССИИ!$A$5:$A$39,0)))</f>
        <v/>
      </c>
      <c r="S122" s="38" t="str">
        <f aca="false">IF(OR($P122="",$Q122=""),"",INDEX(ПРОФЕССИИ!$F$5:$H$39,MATCH($P122,ПРОФЕССИИ!$A$5:$A$39,0),$Q122))</f>
        <v/>
      </c>
      <c r="T122" s="44"/>
      <c r="U122" s="44"/>
      <c r="V122" s="47" t="str">
        <f aca="false">IF($O122="","",IF(COUNTIFS($N$5:$N$124,$N122,$O$5:$O$124,$O122,$P$5:$P$124,$P122)&gt;1,"повтор в этом цикле!","")&amp;IF(COUNTIFS($A$5:$A$76,$O122,$D$5:$D$76,$P122)=0," такой профессии нет у компании (найм?)",""))</f>
        <v/>
      </c>
    </row>
    <row r="123" customFormat="false" ht="15" hidden="false" customHeight="false" outlineLevel="0" collapsed="false">
      <c r="N123" s="44"/>
      <c r="O123" s="44"/>
      <c r="P123" s="44"/>
      <c r="Q123" s="37" t="str">
        <f aca="false">IF(OR($O123="",$P123=""),"",MAX(1,SUMIFS($G$5:$G$76,$A$5:$A$76,$O123,$D$5:$D$76,$P123)))</f>
        <v/>
      </c>
      <c r="R123" s="37" t="str">
        <f aca="false">IF($P123="","",INDEX(ПРОФЕССИИ!$E$5:$E$39,MATCH($P123,ПРОФЕССИИ!$A$5:$A$39,0)))</f>
        <v/>
      </c>
      <c r="S123" s="38" t="str">
        <f aca="false">IF(OR($P123="",$Q123=""),"",INDEX(ПРОФЕССИИ!$F$5:$H$39,MATCH($P123,ПРОФЕССИИ!$A$5:$A$39,0),$Q123))</f>
        <v/>
      </c>
      <c r="T123" s="44"/>
      <c r="U123" s="44"/>
      <c r="V123" s="47" t="str">
        <f aca="false">IF($O123="","",IF(COUNTIFS($N$5:$N$124,$N123,$O$5:$O$124,$O123,$P$5:$P$124,$P123)&gt;1,"повтор в этом цикле!","")&amp;IF(COUNTIFS($A$5:$A$76,$O123,$D$5:$D$76,$P123)=0," такой профессии нет у компании (найм?)",""))</f>
        <v/>
      </c>
    </row>
    <row r="124" customFormat="false" ht="15" hidden="false" customHeight="false" outlineLevel="0" collapsed="false">
      <c r="N124" s="44"/>
      <c r="O124" s="44"/>
      <c r="P124" s="44"/>
      <c r="Q124" s="37" t="str">
        <f aca="false">IF(OR($O124="",$P124=""),"",MAX(1,SUMIFS($G$5:$G$76,$A$5:$A$76,$O124,$D$5:$D$76,$P124)))</f>
        <v/>
      </c>
      <c r="R124" s="37" t="str">
        <f aca="false">IF($P124="","",INDEX(ПРОФЕССИИ!$E$5:$E$39,MATCH($P124,ПРОФЕССИИ!$A$5:$A$39,0)))</f>
        <v/>
      </c>
      <c r="S124" s="38" t="str">
        <f aca="false">IF(OR($P124="",$Q124=""),"",INDEX(ПРОФЕССИИ!$F$5:$H$39,MATCH($P124,ПРОФЕССИИ!$A$5:$A$39,0),$Q124))</f>
        <v/>
      </c>
      <c r="T124" s="44"/>
      <c r="U124" s="44"/>
      <c r="V124" s="47" t="str">
        <f aca="false">IF($O124="","",IF(COUNTIFS($N$5:$N$124,$N124,$O$5:$O$124,$O124,$P$5:$P$124,$P124)&gt;1,"повтор в этом цикле!","")&amp;IF(COUNTIFS($A$5:$A$76,$O124,$D$5:$D$76,$P124)=0," такой профессии нет у компании (найм?)",""))</f>
        <v/>
      </c>
    </row>
  </sheetData>
  <dataValidations count="9">
    <dataValidation allowBlank="true" error="Целое число от 1 до 10." errorStyle="stop" operator="between" showDropDown="false" showErrorMessage="true" showInputMessage="false" sqref="E5:F65 N5:N77 X5:X64 E66:F76 N78:N124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D5:D76" type="list">
      <formula1>ПРОФЕССИИ!$A$5:$A$39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O5:O12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P5:P124" type="list">
      <formula1>ПРОФЕССИИ!$A$5:$A$39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T5:T124" type="list">
      <formula1>"Банк,Инфраструктура,Гражданские сервисы"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Y5:Y6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Z5:Z64" type="list">
      <formula1>ПРОФЕССИИ!$A$5:$A$39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AA5:AA6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AC5:AC64" type="list">
      <formula1>"Найм (один заказ),Переманивание"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6000"/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32"/>
    <col collapsed="false" customWidth="true" hidden="false" outlineLevel="0" max="4" min="4" style="0" width="40"/>
    <col collapsed="false" customWidth="true" hidden="false" outlineLevel="0" max="5" min="5" style="0" width="13"/>
    <col collapsed="false" customWidth="true" hidden="false" outlineLevel="0" max="8" min="6" style="0" width="9"/>
    <col collapsed="false" customWidth="true" hidden="false" outlineLevel="0" max="9" min="9" style="0" width="56"/>
    <col collapsed="false" customWidth="true" hidden="false" outlineLevel="0" max="10" min="10" style="0" width="18"/>
    <col collapsed="false" customWidth="true" hidden="false" outlineLevel="0" max="13" min="11" style="0" width="22"/>
  </cols>
  <sheetData>
    <row r="1" customFormat="false" ht="17.35" hidden="false" customHeight="false" outlineLevel="0" collapsed="false">
      <c r="A1" s="8" t="s">
        <v>354</v>
      </c>
    </row>
    <row r="2" customFormat="false" ht="15" hidden="false" customHeight="false" outlineLevel="0" collapsed="false">
      <c r="A2" s="2" t="s">
        <v>355</v>
      </c>
    </row>
    <row r="4" customFormat="false" ht="42" hidden="false" customHeight="true" outlineLevel="0" collapsed="false">
      <c r="A4" s="9" t="s">
        <v>303</v>
      </c>
      <c r="B4" s="9" t="s">
        <v>107</v>
      </c>
      <c r="C4" s="9" t="s">
        <v>356</v>
      </c>
      <c r="D4" s="9" t="s">
        <v>357</v>
      </c>
      <c r="E4" s="9" t="s">
        <v>308</v>
      </c>
      <c r="F4" s="9" t="s">
        <v>358</v>
      </c>
      <c r="G4" s="9" t="s">
        <v>359</v>
      </c>
      <c r="H4" s="9" t="s">
        <v>360</v>
      </c>
      <c r="I4" s="9" t="s">
        <v>361</v>
      </c>
      <c r="J4" s="9" t="s">
        <v>309</v>
      </c>
      <c r="K4" s="9" t="s">
        <v>362</v>
      </c>
      <c r="L4" s="9" t="s">
        <v>363</v>
      </c>
      <c r="M4" s="9" t="s">
        <v>364</v>
      </c>
    </row>
    <row r="5" customFormat="false" ht="23.85" hidden="false" customHeight="false" outlineLevel="0" collapsed="false">
      <c r="A5" s="50" t="s">
        <v>344</v>
      </c>
      <c r="B5" s="51" t="s">
        <v>365</v>
      </c>
      <c r="C5" s="51" t="s">
        <v>366</v>
      </c>
      <c r="D5" s="51" t="s">
        <v>367</v>
      </c>
      <c r="E5" s="51" t="s">
        <v>368</v>
      </c>
      <c r="F5" s="52" t="n">
        <f aca="false">ИНФА!$F$12</f>
        <v>500</v>
      </c>
      <c r="G5" s="52" t="n">
        <f aca="false">ИНФА!$F$13</f>
        <v>1000</v>
      </c>
      <c r="H5" s="52" t="n">
        <f aca="false">ИНФА!$F$14</f>
        <v>1500</v>
      </c>
      <c r="I5" s="51" t="s">
        <v>369</v>
      </c>
      <c r="J5" s="51" t="s">
        <v>370</v>
      </c>
      <c r="K5" s="51" t="s">
        <v>371</v>
      </c>
      <c r="L5" s="51" t="s">
        <v>372</v>
      </c>
      <c r="M5" s="51" t="s">
        <v>373</v>
      </c>
    </row>
    <row r="6" customFormat="false" ht="23.85" hidden="false" customHeight="false" outlineLevel="0" collapsed="false">
      <c r="A6" s="50" t="s">
        <v>350</v>
      </c>
      <c r="B6" s="51" t="s">
        <v>365</v>
      </c>
      <c r="C6" s="51" t="s">
        <v>374</v>
      </c>
      <c r="D6" s="51" t="s">
        <v>375</v>
      </c>
      <c r="E6" s="51" t="s">
        <v>376</v>
      </c>
      <c r="F6" s="52" t="n">
        <f aca="false">ИНФА!$F$12*2</f>
        <v>1000</v>
      </c>
      <c r="G6" s="52" t="n">
        <f aca="false">ИНФА!$F$13*2</f>
        <v>2000</v>
      </c>
      <c r="H6" s="52" t="n">
        <f aca="false">ИНФА!$F$14*2</f>
        <v>3000</v>
      </c>
      <c r="I6" s="51" t="s">
        <v>377</v>
      </c>
      <c r="J6" s="51" t="s">
        <v>370</v>
      </c>
      <c r="K6" s="51" t="s">
        <v>378</v>
      </c>
      <c r="L6" s="51" t="s">
        <v>379</v>
      </c>
      <c r="M6" s="51" t="s">
        <v>380</v>
      </c>
    </row>
    <row r="7" customFormat="false" ht="23.85" hidden="false" customHeight="false" outlineLevel="0" collapsed="false">
      <c r="A7" s="50" t="s">
        <v>319</v>
      </c>
      <c r="B7" s="51" t="s">
        <v>365</v>
      </c>
      <c r="C7" s="51" t="s">
        <v>381</v>
      </c>
      <c r="D7" s="51" t="s">
        <v>382</v>
      </c>
      <c r="E7" s="51" t="s">
        <v>383</v>
      </c>
      <c r="F7" s="52" t="n">
        <f aca="false">ИНФА!$F$12</f>
        <v>500</v>
      </c>
      <c r="G7" s="52" t="n">
        <f aca="false">ИНФА!$F$13</f>
        <v>1000</v>
      </c>
      <c r="H7" s="52" t="n">
        <f aca="false">ИНФА!$F$14</f>
        <v>1500</v>
      </c>
      <c r="I7" s="51" t="s">
        <v>384</v>
      </c>
      <c r="J7" s="51" t="s">
        <v>385</v>
      </c>
      <c r="K7" s="51" t="s">
        <v>386</v>
      </c>
      <c r="L7" s="51" t="s">
        <v>387</v>
      </c>
      <c r="M7" s="51" t="s">
        <v>388</v>
      </c>
    </row>
    <row r="8" customFormat="false" ht="23.85" hidden="false" customHeight="false" outlineLevel="0" collapsed="false">
      <c r="A8" s="50" t="s">
        <v>337</v>
      </c>
      <c r="B8" s="51" t="s">
        <v>365</v>
      </c>
      <c r="C8" s="51" t="s">
        <v>389</v>
      </c>
      <c r="D8" s="51" t="s">
        <v>390</v>
      </c>
      <c r="E8" s="51" t="s">
        <v>391</v>
      </c>
      <c r="F8" s="52" t="n">
        <f aca="false">ИНФА!$F$12</f>
        <v>500</v>
      </c>
      <c r="G8" s="52" t="n">
        <f aca="false">ИНФА!$F$13</f>
        <v>1000</v>
      </c>
      <c r="H8" s="52" t="n">
        <f aca="false">ИНФА!$F$14</f>
        <v>1500</v>
      </c>
      <c r="I8" s="51" t="s">
        <v>392</v>
      </c>
      <c r="J8" s="51" t="s">
        <v>393</v>
      </c>
      <c r="K8" s="51" t="s">
        <v>394</v>
      </c>
      <c r="L8" s="51" t="s">
        <v>395</v>
      </c>
      <c r="M8" s="51" t="s">
        <v>396</v>
      </c>
    </row>
    <row r="9" customFormat="false" ht="23.85" hidden="false" customHeight="false" outlineLevel="0" collapsed="false">
      <c r="A9" s="50" t="s">
        <v>330</v>
      </c>
      <c r="B9" s="51" t="s">
        <v>365</v>
      </c>
      <c r="C9" s="51" t="s">
        <v>397</v>
      </c>
      <c r="D9" s="51" t="s">
        <v>398</v>
      </c>
      <c r="E9" s="51" t="s">
        <v>399</v>
      </c>
      <c r="F9" s="52" t="n">
        <f aca="false">ИНФА!$F$12</f>
        <v>500</v>
      </c>
      <c r="G9" s="52" t="n">
        <f aca="false">ИНФА!$F$13</f>
        <v>1000</v>
      </c>
      <c r="H9" s="52" t="n">
        <f aca="false">ИНФА!$F$14</f>
        <v>1500</v>
      </c>
      <c r="I9" s="51" t="s">
        <v>400</v>
      </c>
      <c r="J9" s="51" t="s">
        <v>401</v>
      </c>
      <c r="K9" s="51" t="s">
        <v>402</v>
      </c>
      <c r="L9" s="51" t="s">
        <v>403</v>
      </c>
      <c r="M9" s="51" t="s">
        <v>404</v>
      </c>
    </row>
    <row r="10" customFormat="false" ht="23.85" hidden="false" customHeight="false" outlineLevel="0" collapsed="false">
      <c r="A10" s="50" t="s">
        <v>320</v>
      </c>
      <c r="B10" s="51" t="s">
        <v>405</v>
      </c>
      <c r="C10" s="51" t="s">
        <v>406</v>
      </c>
      <c r="D10" s="51" t="s">
        <v>407</v>
      </c>
      <c r="E10" s="51" t="s">
        <v>391</v>
      </c>
      <c r="F10" s="52" t="n">
        <f aca="false">ИНФА!$F$12</f>
        <v>500</v>
      </c>
      <c r="G10" s="52" t="n">
        <f aca="false">ИНФА!$F$13</f>
        <v>1000</v>
      </c>
      <c r="H10" s="52" t="n">
        <f aca="false">ИНФА!$F$14</f>
        <v>1500</v>
      </c>
      <c r="I10" s="51" t="s">
        <v>408</v>
      </c>
      <c r="J10" s="51" t="s">
        <v>393</v>
      </c>
      <c r="K10" s="51" t="s">
        <v>409</v>
      </c>
      <c r="L10" s="51" t="s">
        <v>410</v>
      </c>
      <c r="M10" s="51" t="s">
        <v>411</v>
      </c>
    </row>
    <row r="11" customFormat="false" ht="23.85" hidden="false" customHeight="false" outlineLevel="0" collapsed="false">
      <c r="A11" s="50" t="s">
        <v>345</v>
      </c>
      <c r="B11" s="51" t="s">
        <v>405</v>
      </c>
      <c r="C11" s="51" t="s">
        <v>412</v>
      </c>
      <c r="D11" s="51" t="s">
        <v>413</v>
      </c>
      <c r="E11" s="51" t="s">
        <v>391</v>
      </c>
      <c r="F11" s="52" t="n">
        <f aca="false">ИНФА!$F$12</f>
        <v>500</v>
      </c>
      <c r="G11" s="52" t="n">
        <f aca="false">ИНФА!$F$13</f>
        <v>1000</v>
      </c>
      <c r="H11" s="52" t="n">
        <f aca="false">ИНФА!$F$14</f>
        <v>1500</v>
      </c>
      <c r="I11" s="51" t="s">
        <v>414</v>
      </c>
      <c r="J11" s="51" t="s">
        <v>393</v>
      </c>
      <c r="K11" s="51" t="s">
        <v>415</v>
      </c>
      <c r="L11" s="51" t="s">
        <v>416</v>
      </c>
      <c r="M11" s="51" t="s">
        <v>417</v>
      </c>
    </row>
    <row r="12" customFormat="false" ht="23.85" hidden="false" customHeight="false" outlineLevel="0" collapsed="false">
      <c r="A12" s="50" t="s">
        <v>335</v>
      </c>
      <c r="B12" s="51" t="s">
        <v>405</v>
      </c>
      <c r="C12" s="51" t="s">
        <v>418</v>
      </c>
      <c r="D12" s="51" t="s">
        <v>419</v>
      </c>
      <c r="E12" s="51" t="s">
        <v>420</v>
      </c>
      <c r="F12" s="52" t="n">
        <f aca="false">ИНФА!$F$12</f>
        <v>500</v>
      </c>
      <c r="G12" s="52" t="n">
        <f aca="false">ИНФА!$F$13</f>
        <v>1000</v>
      </c>
      <c r="H12" s="52" t="n">
        <f aca="false">ИНФА!$F$14</f>
        <v>1500</v>
      </c>
      <c r="I12" s="51" t="s">
        <v>421</v>
      </c>
      <c r="J12" s="51" t="s">
        <v>401</v>
      </c>
      <c r="K12" s="51" t="s">
        <v>422</v>
      </c>
      <c r="L12" s="51" t="s">
        <v>423</v>
      </c>
      <c r="M12" s="51" t="s">
        <v>424</v>
      </c>
    </row>
    <row r="13" customFormat="false" ht="23.85" hidden="false" customHeight="false" outlineLevel="0" collapsed="false">
      <c r="A13" s="50" t="s">
        <v>326</v>
      </c>
      <c r="B13" s="51" t="s">
        <v>405</v>
      </c>
      <c r="C13" s="51" t="s">
        <v>425</v>
      </c>
      <c r="D13" s="51" t="s">
        <v>426</v>
      </c>
      <c r="E13" s="51" t="s">
        <v>391</v>
      </c>
      <c r="F13" s="52" t="n">
        <f aca="false">ИНФА!$F$12</f>
        <v>500</v>
      </c>
      <c r="G13" s="52" t="n">
        <f aca="false">ИНФА!$F$13</f>
        <v>1000</v>
      </c>
      <c r="H13" s="52" t="n">
        <f aca="false">ИНФА!$F$14</f>
        <v>1500</v>
      </c>
      <c r="I13" s="51" t="s">
        <v>427</v>
      </c>
      <c r="J13" s="51" t="s">
        <v>393</v>
      </c>
      <c r="K13" s="51" t="s">
        <v>428</v>
      </c>
      <c r="L13" s="51" t="s">
        <v>429</v>
      </c>
      <c r="M13" s="51" t="s">
        <v>430</v>
      </c>
    </row>
    <row r="14" customFormat="false" ht="23.85" hidden="false" customHeight="false" outlineLevel="0" collapsed="false">
      <c r="A14" s="50" t="s">
        <v>351</v>
      </c>
      <c r="B14" s="51" t="s">
        <v>405</v>
      </c>
      <c r="C14" s="51" t="s">
        <v>431</v>
      </c>
      <c r="D14" s="51" t="s">
        <v>432</v>
      </c>
      <c r="E14" s="51" t="s">
        <v>391</v>
      </c>
      <c r="F14" s="52" t="n">
        <f aca="false">ИНФА!$F$12</f>
        <v>500</v>
      </c>
      <c r="G14" s="52" t="n">
        <f aca="false">ИНФА!$F$13</f>
        <v>1000</v>
      </c>
      <c r="H14" s="52" t="n">
        <f aca="false">ИНФА!$F$14</f>
        <v>1500</v>
      </c>
      <c r="I14" s="51" t="s">
        <v>433</v>
      </c>
      <c r="J14" s="51" t="s">
        <v>393</v>
      </c>
      <c r="K14" s="51" t="s">
        <v>434</v>
      </c>
      <c r="L14" s="51" t="s">
        <v>435</v>
      </c>
      <c r="M14" s="51" t="s">
        <v>436</v>
      </c>
    </row>
    <row r="15" customFormat="false" ht="23.85" hidden="false" customHeight="false" outlineLevel="0" collapsed="false">
      <c r="A15" s="50" t="s">
        <v>339</v>
      </c>
      <c r="B15" s="51" t="s">
        <v>437</v>
      </c>
      <c r="C15" s="51" t="s">
        <v>438</v>
      </c>
      <c r="D15" s="51" t="s">
        <v>439</v>
      </c>
      <c r="E15" s="51" t="s">
        <v>383</v>
      </c>
      <c r="F15" s="52" t="n">
        <f aca="false">ИНФА!$F$12</f>
        <v>500</v>
      </c>
      <c r="G15" s="52" t="n">
        <f aca="false">ИНФА!$F$13</f>
        <v>1000</v>
      </c>
      <c r="H15" s="52" t="n">
        <f aca="false">ИНФА!$F$14</f>
        <v>1500</v>
      </c>
      <c r="I15" s="51" t="s">
        <v>440</v>
      </c>
      <c r="J15" s="51" t="s">
        <v>385</v>
      </c>
      <c r="K15" s="51" t="s">
        <v>441</v>
      </c>
      <c r="L15" s="51" t="s">
        <v>442</v>
      </c>
      <c r="M15" s="51" t="s">
        <v>443</v>
      </c>
    </row>
    <row r="16" customFormat="false" ht="23.85" hidden="false" customHeight="false" outlineLevel="0" collapsed="false">
      <c r="A16" s="50" t="s">
        <v>327</v>
      </c>
      <c r="B16" s="51" t="s">
        <v>437</v>
      </c>
      <c r="C16" s="51" t="s">
        <v>444</v>
      </c>
      <c r="D16" s="51" t="s">
        <v>445</v>
      </c>
      <c r="E16" s="51" t="s">
        <v>391</v>
      </c>
      <c r="F16" s="52" t="n">
        <f aca="false">ИНФА!$F$12</f>
        <v>500</v>
      </c>
      <c r="G16" s="52" t="n">
        <f aca="false">ИНФА!$F$13</f>
        <v>1000</v>
      </c>
      <c r="H16" s="52" t="n">
        <f aca="false">ИНФА!$F$14</f>
        <v>1500</v>
      </c>
      <c r="I16" s="51" t="s">
        <v>446</v>
      </c>
      <c r="J16" s="51" t="s">
        <v>393</v>
      </c>
      <c r="K16" s="51" t="s">
        <v>447</v>
      </c>
      <c r="L16" s="51" t="s">
        <v>448</v>
      </c>
      <c r="M16" s="51" t="s">
        <v>449</v>
      </c>
    </row>
    <row r="17" customFormat="false" ht="23.85" hidden="false" customHeight="false" outlineLevel="0" collapsed="false">
      <c r="A17" s="50" t="s">
        <v>347</v>
      </c>
      <c r="B17" s="51" t="s">
        <v>437</v>
      </c>
      <c r="C17" s="51" t="s">
        <v>450</v>
      </c>
      <c r="D17" s="51" t="s">
        <v>451</v>
      </c>
      <c r="E17" s="51" t="s">
        <v>391</v>
      </c>
      <c r="F17" s="52" t="n">
        <f aca="false">ИНФА!$F$12</f>
        <v>500</v>
      </c>
      <c r="G17" s="52" t="n">
        <f aca="false">ИНФА!$F$13</f>
        <v>1000</v>
      </c>
      <c r="H17" s="52" t="n">
        <f aca="false">ИНФА!$F$14</f>
        <v>1500</v>
      </c>
      <c r="I17" s="51" t="s">
        <v>452</v>
      </c>
      <c r="J17" s="51" t="s">
        <v>393</v>
      </c>
      <c r="K17" s="51" t="s">
        <v>453</v>
      </c>
      <c r="L17" s="51" t="s">
        <v>454</v>
      </c>
      <c r="M17" s="51" t="s">
        <v>455</v>
      </c>
    </row>
    <row r="18" customFormat="false" ht="23.85" hidden="false" customHeight="false" outlineLevel="0" collapsed="false">
      <c r="A18" s="50" t="s">
        <v>332</v>
      </c>
      <c r="B18" s="51" t="s">
        <v>437</v>
      </c>
      <c r="C18" s="51" t="s">
        <v>456</v>
      </c>
      <c r="D18" s="51" t="s">
        <v>457</v>
      </c>
      <c r="E18" s="51" t="s">
        <v>391</v>
      </c>
      <c r="F18" s="52" t="n">
        <f aca="false">ИНФА!$F$12</f>
        <v>500</v>
      </c>
      <c r="G18" s="52" t="n">
        <f aca="false">ИНФА!$F$13</f>
        <v>1000</v>
      </c>
      <c r="H18" s="52" t="n">
        <f aca="false">ИНФА!$F$14</f>
        <v>1500</v>
      </c>
      <c r="I18" s="51" t="s">
        <v>458</v>
      </c>
      <c r="J18" s="51" t="s">
        <v>393</v>
      </c>
      <c r="K18" s="51" t="s">
        <v>459</v>
      </c>
      <c r="L18" s="51" t="s">
        <v>460</v>
      </c>
      <c r="M18" s="51" t="s">
        <v>461</v>
      </c>
    </row>
    <row r="19" customFormat="false" ht="23.85" hidden="false" customHeight="false" outlineLevel="0" collapsed="false">
      <c r="A19" s="50" t="s">
        <v>343</v>
      </c>
      <c r="B19" s="51" t="s">
        <v>437</v>
      </c>
      <c r="C19" s="51" t="s">
        <v>462</v>
      </c>
      <c r="D19" s="51" t="s">
        <v>463</v>
      </c>
      <c r="E19" s="51" t="s">
        <v>391</v>
      </c>
      <c r="F19" s="52" t="n">
        <f aca="false">ИНФА!$F$12</f>
        <v>500</v>
      </c>
      <c r="G19" s="52" t="n">
        <f aca="false">ИНФА!$F$13</f>
        <v>1000</v>
      </c>
      <c r="H19" s="52" t="n">
        <f aca="false">ИНФА!$F$14</f>
        <v>1500</v>
      </c>
      <c r="I19" s="51" t="s">
        <v>464</v>
      </c>
      <c r="J19" s="51" t="s">
        <v>393</v>
      </c>
      <c r="K19" s="51" t="s">
        <v>465</v>
      </c>
      <c r="L19" s="51" t="s">
        <v>466</v>
      </c>
      <c r="M19" s="51" t="s">
        <v>467</v>
      </c>
    </row>
    <row r="20" customFormat="false" ht="23.85" hidden="false" customHeight="false" outlineLevel="0" collapsed="false">
      <c r="A20" s="50" t="s">
        <v>349</v>
      </c>
      <c r="B20" s="51" t="s">
        <v>166</v>
      </c>
      <c r="C20" s="51" t="s">
        <v>468</v>
      </c>
      <c r="D20" s="51" t="s">
        <v>469</v>
      </c>
      <c r="E20" s="51" t="s">
        <v>391</v>
      </c>
      <c r="F20" s="52" t="n">
        <f aca="false">ИНФА!$F$12</f>
        <v>500</v>
      </c>
      <c r="G20" s="52" t="n">
        <f aca="false">ИНФА!$F$12*2</f>
        <v>1000</v>
      </c>
      <c r="H20" s="52" t="n">
        <f aca="false">ИНФА!$F$13*2</f>
        <v>2000</v>
      </c>
      <c r="I20" s="51" t="s">
        <v>470</v>
      </c>
      <c r="J20" s="51" t="s">
        <v>393</v>
      </c>
      <c r="K20" s="51" t="s">
        <v>471</v>
      </c>
      <c r="L20" s="51" t="s">
        <v>472</v>
      </c>
      <c r="M20" s="51" t="s">
        <v>473</v>
      </c>
    </row>
    <row r="21" customFormat="false" ht="23.85" hidden="false" customHeight="false" outlineLevel="0" collapsed="false">
      <c r="A21" s="50" t="s">
        <v>321</v>
      </c>
      <c r="B21" s="51" t="s">
        <v>166</v>
      </c>
      <c r="C21" s="51" t="s">
        <v>474</v>
      </c>
      <c r="D21" s="51" t="s">
        <v>475</v>
      </c>
      <c r="E21" s="51" t="s">
        <v>391</v>
      </c>
      <c r="F21" s="52" t="n">
        <f aca="false">ИНФА!$F$12</f>
        <v>500</v>
      </c>
      <c r="G21" s="52" t="n">
        <f aca="false">ИНФА!$F$13</f>
        <v>1000</v>
      </c>
      <c r="H21" s="52" t="n">
        <f aca="false">ИНФА!$F$14</f>
        <v>1500</v>
      </c>
      <c r="I21" s="51" t="s">
        <v>476</v>
      </c>
      <c r="J21" s="51" t="s">
        <v>393</v>
      </c>
      <c r="K21" s="51" t="s">
        <v>477</v>
      </c>
      <c r="L21" s="51" t="s">
        <v>478</v>
      </c>
      <c r="M21" s="51" t="s">
        <v>479</v>
      </c>
    </row>
    <row r="22" customFormat="false" ht="23.85" hidden="false" customHeight="false" outlineLevel="0" collapsed="false">
      <c r="A22" s="50" t="s">
        <v>328</v>
      </c>
      <c r="B22" s="51" t="s">
        <v>166</v>
      </c>
      <c r="C22" s="51" t="s">
        <v>480</v>
      </c>
      <c r="D22" s="51" t="s">
        <v>481</v>
      </c>
      <c r="E22" s="51" t="s">
        <v>391</v>
      </c>
      <c r="F22" s="52" t="n">
        <f aca="false">ИНФА!$F$12</f>
        <v>500</v>
      </c>
      <c r="G22" s="52" t="n">
        <f aca="false">ИНФА!$F$13</f>
        <v>1000</v>
      </c>
      <c r="H22" s="52" t="n">
        <f aca="false">ИНФА!$F$14</f>
        <v>1500</v>
      </c>
      <c r="I22" s="51" t="s">
        <v>482</v>
      </c>
      <c r="J22" s="51" t="s">
        <v>393</v>
      </c>
      <c r="K22" s="51" t="s">
        <v>483</v>
      </c>
      <c r="L22" s="51" t="s">
        <v>484</v>
      </c>
      <c r="M22" s="51" t="s">
        <v>485</v>
      </c>
    </row>
    <row r="23" customFormat="false" ht="23.85" hidden="false" customHeight="false" outlineLevel="0" collapsed="false">
      <c r="A23" s="50" t="s">
        <v>322</v>
      </c>
      <c r="B23" s="51" t="s">
        <v>166</v>
      </c>
      <c r="C23" s="51" t="s">
        <v>486</v>
      </c>
      <c r="D23" s="51" t="s">
        <v>487</v>
      </c>
      <c r="E23" s="51" t="s">
        <v>383</v>
      </c>
      <c r="F23" s="52" t="n">
        <f aca="false">ИНФА!$F$12</f>
        <v>500</v>
      </c>
      <c r="G23" s="52" t="n">
        <f aca="false">ИНФА!$F$13</f>
        <v>1000</v>
      </c>
      <c r="H23" s="52" t="n">
        <f aca="false">ИНФА!$F$14</f>
        <v>1500</v>
      </c>
      <c r="I23" s="51" t="s">
        <v>488</v>
      </c>
      <c r="J23" s="51" t="s">
        <v>385</v>
      </c>
      <c r="K23" s="51" t="s">
        <v>489</v>
      </c>
      <c r="L23" s="51" t="s">
        <v>490</v>
      </c>
      <c r="M23" s="51" t="s">
        <v>491</v>
      </c>
    </row>
    <row r="24" customFormat="false" ht="23.85" hidden="false" customHeight="false" outlineLevel="0" collapsed="false">
      <c r="A24" s="50" t="s">
        <v>333</v>
      </c>
      <c r="B24" s="51" t="s">
        <v>166</v>
      </c>
      <c r="C24" s="51" t="s">
        <v>492</v>
      </c>
      <c r="D24" s="51" t="s">
        <v>493</v>
      </c>
      <c r="E24" s="51" t="s">
        <v>383</v>
      </c>
      <c r="F24" s="52" t="n">
        <f aca="false">ИНФА!$F$12</f>
        <v>500</v>
      </c>
      <c r="G24" s="52" t="n">
        <f aca="false">ИНФА!$F$13</f>
        <v>1000</v>
      </c>
      <c r="H24" s="52" t="n">
        <f aca="false">ИНФА!$F$14</f>
        <v>1500</v>
      </c>
      <c r="I24" s="51" t="s">
        <v>494</v>
      </c>
      <c r="J24" s="51" t="s">
        <v>385</v>
      </c>
      <c r="K24" s="51" t="s">
        <v>495</v>
      </c>
      <c r="L24" s="51" t="s">
        <v>496</v>
      </c>
      <c r="M24" s="51" t="s">
        <v>497</v>
      </c>
    </row>
    <row r="25" customFormat="false" ht="23.85" hidden="false" customHeight="false" outlineLevel="0" collapsed="false">
      <c r="A25" s="50" t="s">
        <v>325</v>
      </c>
      <c r="B25" s="51" t="s">
        <v>498</v>
      </c>
      <c r="C25" s="51" t="s">
        <v>499</v>
      </c>
      <c r="D25" s="51" t="s">
        <v>500</v>
      </c>
      <c r="E25" s="51" t="s">
        <v>383</v>
      </c>
      <c r="F25" s="52" t="n">
        <f aca="false">ИНФА!$F$12</f>
        <v>500</v>
      </c>
      <c r="G25" s="52" t="n">
        <f aca="false">ИНФА!$F$13</f>
        <v>1000</v>
      </c>
      <c r="H25" s="52" t="n">
        <f aca="false">ИНФА!$F$14</f>
        <v>1500</v>
      </c>
      <c r="I25" s="51" t="s">
        <v>501</v>
      </c>
      <c r="J25" s="51" t="s">
        <v>385</v>
      </c>
      <c r="K25" s="51" t="s">
        <v>502</v>
      </c>
      <c r="L25" s="51" t="s">
        <v>503</v>
      </c>
      <c r="M25" s="51" t="s">
        <v>504</v>
      </c>
    </row>
    <row r="26" customFormat="false" ht="23.85" hidden="false" customHeight="false" outlineLevel="0" collapsed="false">
      <c r="A26" s="50" t="s">
        <v>334</v>
      </c>
      <c r="B26" s="51" t="s">
        <v>498</v>
      </c>
      <c r="C26" s="51" t="s">
        <v>505</v>
      </c>
      <c r="D26" s="51" t="s">
        <v>506</v>
      </c>
      <c r="E26" s="51" t="s">
        <v>391</v>
      </c>
      <c r="F26" s="52" t="n">
        <f aca="false">ИНФА!$F$12</f>
        <v>500</v>
      </c>
      <c r="G26" s="52" t="n">
        <f aca="false">ИНФА!$F$13</f>
        <v>1000</v>
      </c>
      <c r="H26" s="52" t="n">
        <f aca="false">ИНФА!$F$14</f>
        <v>1500</v>
      </c>
      <c r="I26" s="51" t="s">
        <v>507</v>
      </c>
      <c r="J26" s="51" t="s">
        <v>393</v>
      </c>
      <c r="K26" s="51" t="s">
        <v>508</v>
      </c>
      <c r="L26" s="51" t="s">
        <v>509</v>
      </c>
      <c r="M26" s="51" t="s">
        <v>510</v>
      </c>
    </row>
    <row r="27" customFormat="false" ht="23.85" hidden="false" customHeight="false" outlineLevel="0" collapsed="false">
      <c r="A27" s="50" t="s">
        <v>323</v>
      </c>
      <c r="B27" s="51" t="s">
        <v>498</v>
      </c>
      <c r="C27" s="51" t="s">
        <v>511</v>
      </c>
      <c r="D27" s="51" t="s">
        <v>512</v>
      </c>
      <c r="E27" s="51" t="s">
        <v>391</v>
      </c>
      <c r="F27" s="52" t="n">
        <f aca="false">ИНФА!$F$12</f>
        <v>500</v>
      </c>
      <c r="G27" s="52" t="n">
        <f aca="false">ИНФА!$F$13</f>
        <v>1000</v>
      </c>
      <c r="H27" s="52" t="n">
        <f aca="false">ИНФА!$F$14</f>
        <v>1500</v>
      </c>
      <c r="I27" s="51" t="s">
        <v>513</v>
      </c>
      <c r="J27" s="51" t="s">
        <v>393</v>
      </c>
      <c r="K27" s="51" t="s">
        <v>514</v>
      </c>
      <c r="L27" s="51" t="s">
        <v>515</v>
      </c>
      <c r="M27" s="51" t="s">
        <v>516</v>
      </c>
    </row>
    <row r="28" customFormat="false" ht="23.85" hidden="false" customHeight="false" outlineLevel="0" collapsed="false">
      <c r="A28" s="50" t="s">
        <v>329</v>
      </c>
      <c r="B28" s="51" t="s">
        <v>498</v>
      </c>
      <c r="C28" s="51" t="s">
        <v>517</v>
      </c>
      <c r="D28" s="51" t="s">
        <v>518</v>
      </c>
      <c r="E28" s="51" t="s">
        <v>420</v>
      </c>
      <c r="F28" s="52" t="n">
        <f aca="false">ИНФА!$F$12</f>
        <v>500</v>
      </c>
      <c r="G28" s="52" t="n">
        <f aca="false">ИНФА!$F$13</f>
        <v>1000</v>
      </c>
      <c r="H28" s="52" t="n">
        <f aca="false">ИНФА!$F$14</f>
        <v>1500</v>
      </c>
      <c r="I28" s="51" t="s">
        <v>519</v>
      </c>
      <c r="J28" s="51" t="s">
        <v>401</v>
      </c>
      <c r="K28" s="51" t="s">
        <v>520</v>
      </c>
      <c r="L28" s="51" t="s">
        <v>521</v>
      </c>
      <c r="M28" s="51" t="s">
        <v>522</v>
      </c>
    </row>
    <row r="29" customFormat="false" ht="23.85" hidden="false" customHeight="false" outlineLevel="0" collapsed="false">
      <c r="A29" s="50" t="s">
        <v>340</v>
      </c>
      <c r="B29" s="51" t="s">
        <v>498</v>
      </c>
      <c r="C29" s="51" t="s">
        <v>523</v>
      </c>
      <c r="D29" s="51" t="s">
        <v>524</v>
      </c>
      <c r="E29" s="51" t="s">
        <v>391</v>
      </c>
      <c r="F29" s="52" t="n">
        <f aca="false">ИНФА!$F$12</f>
        <v>500</v>
      </c>
      <c r="G29" s="52" t="n">
        <f aca="false">ИНФА!$F$13</f>
        <v>1000</v>
      </c>
      <c r="H29" s="52" t="n">
        <f aca="false">ИНФА!$F$14</f>
        <v>1500</v>
      </c>
      <c r="I29" s="51" t="s">
        <v>525</v>
      </c>
      <c r="J29" s="51" t="s">
        <v>393</v>
      </c>
      <c r="K29" s="51" t="s">
        <v>526</v>
      </c>
      <c r="L29" s="51" t="s">
        <v>527</v>
      </c>
      <c r="M29" s="51" t="s">
        <v>528</v>
      </c>
    </row>
    <row r="30" customFormat="false" ht="23.85" hidden="false" customHeight="false" outlineLevel="0" collapsed="false">
      <c r="A30" s="50" t="s">
        <v>346</v>
      </c>
      <c r="B30" s="51" t="s">
        <v>529</v>
      </c>
      <c r="C30" s="51" t="s">
        <v>530</v>
      </c>
      <c r="D30" s="51" t="s">
        <v>531</v>
      </c>
      <c r="E30" s="51" t="s">
        <v>391</v>
      </c>
      <c r="F30" s="52" t="n">
        <f aca="false">ИНФА!$F$12</f>
        <v>500</v>
      </c>
      <c r="G30" s="52" t="n">
        <f aca="false">ИНФА!$F$13</f>
        <v>1000</v>
      </c>
      <c r="H30" s="52" t="n">
        <f aca="false">ИНФА!$F$14</f>
        <v>1500</v>
      </c>
      <c r="I30" s="51" t="s">
        <v>532</v>
      </c>
      <c r="J30" s="51" t="s">
        <v>393</v>
      </c>
      <c r="K30" s="51" t="s">
        <v>533</v>
      </c>
      <c r="L30" s="51" t="s">
        <v>534</v>
      </c>
      <c r="M30" s="51" t="s">
        <v>535</v>
      </c>
    </row>
    <row r="31" customFormat="false" ht="23.85" hidden="false" customHeight="false" outlineLevel="0" collapsed="false">
      <c r="A31" s="50" t="s">
        <v>331</v>
      </c>
      <c r="B31" s="51" t="s">
        <v>529</v>
      </c>
      <c r="C31" s="51" t="s">
        <v>536</v>
      </c>
      <c r="D31" s="51" t="s">
        <v>537</v>
      </c>
      <c r="E31" s="51" t="s">
        <v>391</v>
      </c>
      <c r="F31" s="52" t="n">
        <f aca="false">ИНФА!$F$12</f>
        <v>500</v>
      </c>
      <c r="G31" s="52" t="n">
        <f aca="false">ИНФА!$F$13</f>
        <v>1000</v>
      </c>
      <c r="H31" s="52" t="n">
        <f aca="false">ИНФА!$F$14</f>
        <v>1500</v>
      </c>
      <c r="I31" s="51" t="s">
        <v>538</v>
      </c>
      <c r="J31" s="51" t="s">
        <v>393</v>
      </c>
      <c r="K31" s="51" t="s">
        <v>539</v>
      </c>
      <c r="L31" s="51" t="s">
        <v>540</v>
      </c>
      <c r="M31" s="51" t="s">
        <v>541</v>
      </c>
    </row>
    <row r="32" customFormat="false" ht="23.85" hidden="false" customHeight="false" outlineLevel="0" collapsed="false">
      <c r="A32" s="50" t="s">
        <v>342</v>
      </c>
      <c r="B32" s="51" t="s">
        <v>529</v>
      </c>
      <c r="C32" s="51" t="s">
        <v>542</v>
      </c>
      <c r="D32" s="51" t="s">
        <v>543</v>
      </c>
      <c r="E32" s="51" t="s">
        <v>399</v>
      </c>
      <c r="F32" s="52" t="n">
        <f aca="false">ИНФА!$F$12</f>
        <v>500</v>
      </c>
      <c r="G32" s="52" t="n">
        <f aca="false">ИНФА!$F$13</f>
        <v>1000</v>
      </c>
      <c r="H32" s="52" t="n">
        <f aca="false">ИНФА!$F$14</f>
        <v>1500</v>
      </c>
      <c r="I32" s="51" t="s">
        <v>544</v>
      </c>
      <c r="J32" s="51" t="s">
        <v>401</v>
      </c>
      <c r="K32" s="51" t="s">
        <v>545</v>
      </c>
      <c r="L32" s="51" t="s">
        <v>546</v>
      </c>
      <c r="M32" s="51" t="s">
        <v>547</v>
      </c>
    </row>
    <row r="33" customFormat="false" ht="23.85" hidden="false" customHeight="false" outlineLevel="0" collapsed="false">
      <c r="A33" s="50" t="s">
        <v>348</v>
      </c>
      <c r="B33" s="51" t="s">
        <v>529</v>
      </c>
      <c r="C33" s="51" t="s">
        <v>548</v>
      </c>
      <c r="D33" s="51" t="s">
        <v>549</v>
      </c>
      <c r="E33" s="51" t="s">
        <v>550</v>
      </c>
      <c r="F33" s="52" t="n">
        <f aca="false">ИНФА!$F$12</f>
        <v>500</v>
      </c>
      <c r="G33" s="52" t="n">
        <f aca="false">ИНФА!$F$13</f>
        <v>1000</v>
      </c>
      <c r="H33" s="52" t="n">
        <f aca="false">ИНФА!$F$14</f>
        <v>1500</v>
      </c>
      <c r="I33" s="51" t="s">
        <v>551</v>
      </c>
      <c r="J33" s="51" t="s">
        <v>552</v>
      </c>
      <c r="K33" s="51" t="s">
        <v>553</v>
      </c>
      <c r="L33" s="51" t="s">
        <v>554</v>
      </c>
      <c r="M33" s="51" t="s">
        <v>555</v>
      </c>
    </row>
    <row r="34" customFormat="false" ht="23.85" hidden="false" customHeight="false" outlineLevel="0" collapsed="false">
      <c r="A34" s="50" t="s">
        <v>352</v>
      </c>
      <c r="B34" s="51" t="s">
        <v>529</v>
      </c>
      <c r="C34" s="51" t="s">
        <v>556</v>
      </c>
      <c r="D34" s="51" t="s">
        <v>557</v>
      </c>
      <c r="E34" s="51" t="s">
        <v>391</v>
      </c>
      <c r="F34" s="52" t="n">
        <f aca="false">ИНФА!$F$12</f>
        <v>500</v>
      </c>
      <c r="G34" s="52" t="n">
        <f aca="false">ИНФА!$F$13</f>
        <v>1000</v>
      </c>
      <c r="H34" s="52" t="n">
        <f aca="false">ИНФА!$F$14</f>
        <v>1500</v>
      </c>
      <c r="I34" s="51" t="s">
        <v>558</v>
      </c>
      <c r="J34" s="51" t="s">
        <v>393</v>
      </c>
      <c r="K34" s="51" t="s">
        <v>559</v>
      </c>
      <c r="L34" s="51" t="s">
        <v>560</v>
      </c>
      <c r="M34" s="51" t="s">
        <v>561</v>
      </c>
    </row>
    <row r="35" customFormat="false" ht="23.85" hidden="false" customHeight="false" outlineLevel="0" collapsed="false">
      <c r="A35" s="50" t="s">
        <v>324</v>
      </c>
      <c r="B35" s="51" t="s">
        <v>562</v>
      </c>
      <c r="C35" s="51" t="s">
        <v>563</v>
      </c>
      <c r="D35" s="51" t="s">
        <v>564</v>
      </c>
      <c r="E35" s="51" t="s">
        <v>399</v>
      </c>
      <c r="F35" s="52" t="n">
        <f aca="false">ИНФА!$F$12</f>
        <v>500</v>
      </c>
      <c r="G35" s="52" t="n">
        <f aca="false">ИНФА!$F$13</f>
        <v>1000</v>
      </c>
      <c r="H35" s="52" t="n">
        <f aca="false">ИНФА!$F$14</f>
        <v>1500</v>
      </c>
      <c r="I35" s="51" t="s">
        <v>565</v>
      </c>
      <c r="J35" s="51" t="s">
        <v>401</v>
      </c>
      <c r="K35" s="51" t="s">
        <v>566</v>
      </c>
      <c r="L35" s="51" t="s">
        <v>567</v>
      </c>
      <c r="M35" s="51" t="s">
        <v>568</v>
      </c>
    </row>
    <row r="36" customFormat="false" ht="23.85" hidden="false" customHeight="false" outlineLevel="0" collapsed="false">
      <c r="A36" s="50" t="s">
        <v>341</v>
      </c>
      <c r="B36" s="51" t="s">
        <v>562</v>
      </c>
      <c r="C36" s="51" t="s">
        <v>569</v>
      </c>
      <c r="D36" s="51" t="s">
        <v>570</v>
      </c>
      <c r="E36" s="51" t="s">
        <v>420</v>
      </c>
      <c r="F36" s="52" t="n">
        <f aca="false">ИНФА!$F$12</f>
        <v>500</v>
      </c>
      <c r="G36" s="52" t="n">
        <f aca="false">ИНФА!$F$13</f>
        <v>1000</v>
      </c>
      <c r="H36" s="52" t="n">
        <f aca="false">ИНФА!$F$14</f>
        <v>1500</v>
      </c>
      <c r="I36" s="51" t="s">
        <v>571</v>
      </c>
      <c r="J36" s="51" t="s">
        <v>401</v>
      </c>
      <c r="K36" s="51" t="s">
        <v>572</v>
      </c>
      <c r="L36" s="51" t="s">
        <v>573</v>
      </c>
      <c r="M36" s="51" t="s">
        <v>574</v>
      </c>
    </row>
    <row r="37" customFormat="false" ht="23.85" hidden="false" customHeight="false" outlineLevel="0" collapsed="false">
      <c r="A37" s="50" t="s">
        <v>353</v>
      </c>
      <c r="B37" s="51" t="s">
        <v>562</v>
      </c>
      <c r="C37" s="51" t="s">
        <v>575</v>
      </c>
      <c r="D37" s="51" t="s">
        <v>576</v>
      </c>
      <c r="E37" s="51" t="s">
        <v>420</v>
      </c>
      <c r="F37" s="52" t="n">
        <f aca="false">ИНФА!$F$12</f>
        <v>500</v>
      </c>
      <c r="G37" s="52" t="n">
        <f aca="false">ИНФА!$F$13</f>
        <v>1000</v>
      </c>
      <c r="H37" s="52" t="n">
        <f aca="false">ИНФА!$F$14</f>
        <v>1500</v>
      </c>
      <c r="I37" s="51" t="s">
        <v>577</v>
      </c>
      <c r="J37" s="51" t="s">
        <v>401</v>
      </c>
      <c r="K37" s="51" t="s">
        <v>578</v>
      </c>
      <c r="L37" s="51" t="s">
        <v>579</v>
      </c>
      <c r="M37" s="51" t="s">
        <v>580</v>
      </c>
    </row>
    <row r="38" customFormat="false" ht="23.85" hidden="false" customHeight="false" outlineLevel="0" collapsed="false">
      <c r="A38" s="50" t="s">
        <v>336</v>
      </c>
      <c r="B38" s="51" t="s">
        <v>562</v>
      </c>
      <c r="C38" s="51" t="s">
        <v>581</v>
      </c>
      <c r="D38" s="51" t="s">
        <v>582</v>
      </c>
      <c r="E38" s="51" t="s">
        <v>399</v>
      </c>
      <c r="F38" s="52" t="n">
        <f aca="false">ИНФА!$F$12</f>
        <v>500</v>
      </c>
      <c r="G38" s="52" t="n">
        <f aca="false">ИНФА!$F$13</f>
        <v>1000</v>
      </c>
      <c r="H38" s="52" t="n">
        <f aca="false">ИНФА!$F$14</f>
        <v>1500</v>
      </c>
      <c r="I38" s="51" t="s">
        <v>583</v>
      </c>
      <c r="J38" s="51" t="s">
        <v>401</v>
      </c>
      <c r="K38" s="51" t="s">
        <v>584</v>
      </c>
      <c r="L38" s="51" t="s">
        <v>585</v>
      </c>
      <c r="M38" s="51" t="s">
        <v>586</v>
      </c>
    </row>
    <row r="39" customFormat="false" ht="23.85" hidden="false" customHeight="false" outlineLevel="0" collapsed="false">
      <c r="A39" s="50" t="s">
        <v>338</v>
      </c>
      <c r="B39" s="51" t="s">
        <v>562</v>
      </c>
      <c r="C39" s="51" t="s">
        <v>587</v>
      </c>
      <c r="D39" s="51" t="s">
        <v>588</v>
      </c>
      <c r="E39" s="51" t="s">
        <v>391</v>
      </c>
      <c r="F39" s="52" t="n">
        <f aca="false">ИНФА!$F$12</f>
        <v>500</v>
      </c>
      <c r="G39" s="52" t="n">
        <f aca="false">ИНФА!$F$13</f>
        <v>1000</v>
      </c>
      <c r="H39" s="52" t="n">
        <f aca="false">ИНФА!$F$14</f>
        <v>1500</v>
      </c>
      <c r="I39" s="51" t="s">
        <v>589</v>
      </c>
      <c r="J39" s="51" t="s">
        <v>393</v>
      </c>
      <c r="K39" s="51" t="s">
        <v>590</v>
      </c>
      <c r="L39" s="51" t="s">
        <v>591</v>
      </c>
      <c r="M39" s="51" t="s">
        <v>592</v>
      </c>
    </row>
    <row r="41" customFormat="false" ht="15" hidden="false" customHeight="false" outlineLevel="0" collapsed="false">
      <c r="A41" s="41" t="s">
        <v>593</v>
      </c>
    </row>
    <row r="42" customFormat="false" ht="42" hidden="false" customHeight="true" outlineLevel="0" collapsed="false">
      <c r="A42" s="9" t="s">
        <v>594</v>
      </c>
      <c r="B42" s="9" t="s">
        <v>595</v>
      </c>
      <c r="C42" s="9" t="s">
        <v>596</v>
      </c>
      <c r="D42" s="9" t="s">
        <v>597</v>
      </c>
      <c r="E42" s="9" t="s">
        <v>598</v>
      </c>
      <c r="F42" s="9" t="s">
        <v>599</v>
      </c>
      <c r="G42" s="9" t="s">
        <v>600</v>
      </c>
    </row>
    <row r="43" customFormat="false" ht="15" hidden="false" customHeight="false" outlineLevel="0" collapsed="false">
      <c r="A43" s="15" t="s">
        <v>601</v>
      </c>
      <c r="B43" s="10" t="s">
        <v>319</v>
      </c>
      <c r="C43" s="10" t="s">
        <v>320</v>
      </c>
      <c r="D43" s="10" t="s">
        <v>321</v>
      </c>
      <c r="E43" s="10" t="s">
        <v>322</v>
      </c>
      <c r="F43" s="10" t="s">
        <v>323</v>
      </c>
      <c r="G43" s="10" t="s">
        <v>324</v>
      </c>
    </row>
    <row r="44" customFormat="false" ht="15" hidden="false" customHeight="false" outlineLevel="0" collapsed="false">
      <c r="A44" s="15" t="s">
        <v>602</v>
      </c>
      <c r="B44" s="10" t="s">
        <v>325</v>
      </c>
      <c r="C44" s="10" t="s">
        <v>326</v>
      </c>
      <c r="D44" s="10" t="s">
        <v>327</v>
      </c>
      <c r="E44" s="10" t="s">
        <v>328</v>
      </c>
      <c r="F44" s="10" t="s">
        <v>329</v>
      </c>
      <c r="G44" s="10" t="s">
        <v>330</v>
      </c>
    </row>
    <row r="45" customFormat="false" ht="15" hidden="false" customHeight="false" outlineLevel="0" collapsed="false">
      <c r="A45" s="15" t="s">
        <v>603</v>
      </c>
      <c r="B45" s="10" t="s">
        <v>331</v>
      </c>
      <c r="C45" s="10" t="s">
        <v>332</v>
      </c>
      <c r="D45" s="10" t="s">
        <v>333</v>
      </c>
      <c r="E45" s="10" t="s">
        <v>334</v>
      </c>
      <c r="F45" s="10" t="s">
        <v>335</v>
      </c>
      <c r="G45" s="10" t="s">
        <v>336</v>
      </c>
    </row>
    <row r="46" customFormat="false" ht="15" hidden="false" customHeight="false" outlineLevel="0" collapsed="false">
      <c r="A46" s="15" t="s">
        <v>604</v>
      </c>
      <c r="B46" s="10" t="s">
        <v>337</v>
      </c>
      <c r="C46" s="10" t="s">
        <v>338</v>
      </c>
      <c r="D46" s="10" t="s">
        <v>339</v>
      </c>
      <c r="E46" s="10" t="s">
        <v>340</v>
      </c>
      <c r="F46" s="10" t="s">
        <v>341</v>
      </c>
      <c r="G46" s="10" t="s">
        <v>342</v>
      </c>
    </row>
    <row r="47" customFormat="false" ht="15" hidden="false" customHeight="false" outlineLevel="0" collapsed="false">
      <c r="A47" s="15" t="s">
        <v>605</v>
      </c>
      <c r="B47" s="10" t="s">
        <v>343</v>
      </c>
      <c r="C47" s="10" t="s">
        <v>344</v>
      </c>
      <c r="D47" s="10" t="s">
        <v>345</v>
      </c>
      <c r="E47" s="10" t="s">
        <v>346</v>
      </c>
      <c r="F47" s="10" t="s">
        <v>347</v>
      </c>
      <c r="G47" s="10" t="s">
        <v>348</v>
      </c>
    </row>
    <row r="48" customFormat="false" ht="15" hidden="false" customHeight="false" outlineLevel="0" collapsed="false">
      <c r="A48" s="15" t="s">
        <v>606</v>
      </c>
      <c r="B48" s="10" t="s">
        <v>349</v>
      </c>
      <c r="C48" s="10" t="s">
        <v>350</v>
      </c>
      <c r="D48" s="10" t="s">
        <v>351</v>
      </c>
      <c r="E48" s="10" t="s">
        <v>352</v>
      </c>
      <c r="F48" s="10" t="s">
        <v>353</v>
      </c>
      <c r="G48" s="10" t="s">
        <v>320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Q6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7" min="6" style="0" width="9"/>
    <col collapsed="false" customWidth="true" hidden="false" outlineLevel="0" max="8" min="8" style="0" width="12"/>
    <col collapsed="false" customWidth="true" hidden="false" outlineLevel="0" max="10" min="10" style="0" width="7"/>
    <col collapsed="false" customWidth="true" hidden="false" outlineLevel="0" max="11" min="11" style="0" width="16"/>
    <col collapsed="false" customWidth="true" hidden="false" outlineLevel="0" max="12" min="12" style="0" width="32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11"/>
    <col collapsed="false" customWidth="true" hidden="false" outlineLevel="0" max="17" min="16" style="0" width="9"/>
  </cols>
  <sheetData>
    <row r="1" customFormat="false" ht="17.35" hidden="false" customHeight="false" outlineLevel="0" collapsed="false">
      <c r="A1" s="8" t="s">
        <v>607</v>
      </c>
    </row>
    <row r="2" customFormat="false" ht="15" hidden="false" customHeight="false" outlineLevel="0" collapsed="false">
      <c r="A2" s="2" t="s">
        <v>608</v>
      </c>
    </row>
    <row r="3" customFormat="false" ht="15" hidden="false" customHeight="false" outlineLevel="0" collapsed="false">
      <c r="A3" s="41" t="s">
        <v>609</v>
      </c>
      <c r="J3" s="2" t="s">
        <v>610</v>
      </c>
    </row>
    <row r="4" customFormat="false" ht="42" hidden="false" customHeight="true" outlineLevel="0" collapsed="false">
      <c r="A4" s="9" t="s">
        <v>100</v>
      </c>
      <c r="B4" s="9" t="s">
        <v>611</v>
      </c>
      <c r="C4" s="9" t="s">
        <v>356</v>
      </c>
      <c r="D4" s="9" t="s">
        <v>259</v>
      </c>
      <c r="E4" s="9" t="s">
        <v>612</v>
      </c>
      <c r="F4" s="9" t="s">
        <v>613</v>
      </c>
      <c r="G4" s="9" t="s">
        <v>614</v>
      </c>
      <c r="H4" s="9" t="s">
        <v>615</v>
      </c>
      <c r="J4" s="9" t="s">
        <v>256</v>
      </c>
      <c r="K4" s="9" t="s">
        <v>100</v>
      </c>
      <c r="L4" s="9" t="s">
        <v>616</v>
      </c>
      <c r="M4" s="9" t="s">
        <v>617</v>
      </c>
      <c r="N4" s="9" t="s">
        <v>618</v>
      </c>
      <c r="O4" s="9" t="s">
        <v>619</v>
      </c>
      <c r="P4" s="9" t="s">
        <v>620</v>
      </c>
      <c r="Q4" s="9" t="s">
        <v>621</v>
      </c>
    </row>
    <row r="5" customFormat="false" ht="15" hidden="false" customHeight="false" outlineLevel="0" collapsed="false">
      <c r="A5" s="44"/>
      <c r="B5" s="44"/>
      <c r="C5" s="44"/>
      <c r="D5" s="43"/>
      <c r="E5" s="43"/>
      <c r="F5" s="44"/>
      <c r="G5" s="44"/>
      <c r="H5" s="38" t="str">
        <f aca="false">IF($A5="","",IF($F5="да",N($D5)+N($E5),0))</f>
        <v/>
      </c>
      <c r="J5" s="44"/>
      <c r="K5" s="44"/>
      <c r="L5" s="44"/>
      <c r="M5" s="43"/>
      <c r="N5" s="43"/>
      <c r="O5" s="38" t="str">
        <f aca="false">IF($K5="","",MAX(0,IF($M5="",ИНФА!$F$21,$M5)-N($N5)))</f>
        <v/>
      </c>
      <c r="P5" s="44"/>
      <c r="Q5" s="44"/>
    </row>
    <row r="6" customFormat="false" ht="15" hidden="false" customHeight="false" outlineLevel="0" collapsed="false">
      <c r="A6" s="44"/>
      <c r="B6" s="44"/>
      <c r="C6" s="44"/>
      <c r="D6" s="43"/>
      <c r="E6" s="43"/>
      <c r="F6" s="44"/>
      <c r="G6" s="44"/>
      <c r="H6" s="38" t="str">
        <f aca="false">IF($A6="","",IF($F6="да",N($D6)+N($E6),0))</f>
        <v/>
      </c>
      <c r="J6" s="44"/>
      <c r="K6" s="44"/>
      <c r="L6" s="44"/>
      <c r="M6" s="43"/>
      <c r="N6" s="43"/>
      <c r="O6" s="38" t="str">
        <f aca="false">IF($K6="","",MAX(0,IF($M6="",ИНФА!$F$21,$M6)-N($N6)))</f>
        <v/>
      </c>
      <c r="P6" s="44"/>
      <c r="Q6" s="44"/>
    </row>
    <row r="7" customFormat="false" ht="15" hidden="false" customHeight="false" outlineLevel="0" collapsed="false">
      <c r="A7" s="44"/>
      <c r="B7" s="44"/>
      <c r="C7" s="44"/>
      <c r="D7" s="43"/>
      <c r="E7" s="43"/>
      <c r="F7" s="44"/>
      <c r="G7" s="44"/>
      <c r="H7" s="38" t="str">
        <f aca="false">IF($A7="","",IF($F7="да",N($D7)+N($E7),0))</f>
        <v/>
      </c>
      <c r="J7" s="44"/>
      <c r="K7" s="44"/>
      <c r="L7" s="44"/>
      <c r="M7" s="43"/>
      <c r="N7" s="43"/>
      <c r="O7" s="38" t="str">
        <f aca="false">IF($K7="","",MAX(0,IF($M7="",ИНФА!$F$21,$M7)-N($N7)))</f>
        <v/>
      </c>
      <c r="P7" s="44"/>
      <c r="Q7" s="44"/>
    </row>
    <row r="8" customFormat="false" ht="15" hidden="false" customHeight="false" outlineLevel="0" collapsed="false">
      <c r="A8" s="44"/>
      <c r="B8" s="44"/>
      <c r="C8" s="44"/>
      <c r="D8" s="43"/>
      <c r="E8" s="43"/>
      <c r="F8" s="44"/>
      <c r="G8" s="44"/>
      <c r="H8" s="38" t="str">
        <f aca="false">IF($A8="","",IF($F8="да",N($D8)+N($E8),0))</f>
        <v/>
      </c>
      <c r="J8" s="44"/>
      <c r="K8" s="44"/>
      <c r="L8" s="44"/>
      <c r="M8" s="43"/>
      <c r="N8" s="43"/>
      <c r="O8" s="38" t="str">
        <f aca="false">IF($K8="","",MAX(0,IF($M8="",ИНФА!$F$21,$M8)-N($N8)))</f>
        <v/>
      </c>
      <c r="P8" s="44"/>
      <c r="Q8" s="44"/>
    </row>
    <row r="9" customFormat="false" ht="15" hidden="false" customHeight="false" outlineLevel="0" collapsed="false">
      <c r="A9" s="44"/>
      <c r="B9" s="44"/>
      <c r="C9" s="44"/>
      <c r="D9" s="43"/>
      <c r="E9" s="43"/>
      <c r="F9" s="44"/>
      <c r="G9" s="44"/>
      <c r="H9" s="38" t="str">
        <f aca="false">IF($A9="","",IF($F9="да",N($D9)+N($E9),0))</f>
        <v/>
      </c>
      <c r="J9" s="44"/>
      <c r="K9" s="44"/>
      <c r="L9" s="44"/>
      <c r="M9" s="43"/>
      <c r="N9" s="43"/>
      <c r="O9" s="38" t="str">
        <f aca="false">IF($K9="","",MAX(0,IF($M9="",ИНФА!$F$21,$M9)-N($N9)))</f>
        <v/>
      </c>
      <c r="P9" s="44"/>
      <c r="Q9" s="44"/>
    </row>
    <row r="10" customFormat="false" ht="15" hidden="false" customHeight="false" outlineLevel="0" collapsed="false">
      <c r="A10" s="44"/>
      <c r="B10" s="44"/>
      <c r="C10" s="44"/>
      <c r="D10" s="43"/>
      <c r="E10" s="43"/>
      <c r="F10" s="44"/>
      <c r="G10" s="44"/>
      <c r="H10" s="38" t="str">
        <f aca="false">IF($A10="","",IF($F10="да",N($D10)+N($E10),0))</f>
        <v/>
      </c>
      <c r="J10" s="44"/>
      <c r="K10" s="44"/>
      <c r="L10" s="44"/>
      <c r="M10" s="43"/>
      <c r="N10" s="43"/>
      <c r="O10" s="38" t="str">
        <f aca="false">IF($K10="","",MAX(0,IF($M10="",ИНФА!$F$21,$M10)-N($N10)))</f>
        <v/>
      </c>
      <c r="P10" s="44"/>
      <c r="Q10" s="44"/>
    </row>
    <row r="11" customFormat="false" ht="15" hidden="false" customHeight="false" outlineLevel="0" collapsed="false">
      <c r="A11" s="44"/>
      <c r="B11" s="44"/>
      <c r="C11" s="44"/>
      <c r="D11" s="43"/>
      <c r="E11" s="43"/>
      <c r="F11" s="44"/>
      <c r="G11" s="44"/>
      <c r="H11" s="38" t="str">
        <f aca="false">IF($A11="","",IF($F11="да",N($D11)+N($E11),0))</f>
        <v/>
      </c>
      <c r="J11" s="44"/>
      <c r="K11" s="44"/>
      <c r="L11" s="44"/>
      <c r="M11" s="43"/>
      <c r="N11" s="43"/>
      <c r="O11" s="38" t="str">
        <f aca="false">IF($K11="","",MAX(0,IF($M11="",ИНФА!$F$21,$M11)-N($N11)))</f>
        <v/>
      </c>
      <c r="P11" s="44"/>
      <c r="Q11" s="44"/>
    </row>
    <row r="12" customFormat="false" ht="15" hidden="false" customHeight="false" outlineLevel="0" collapsed="false">
      <c r="A12" s="44"/>
      <c r="B12" s="44"/>
      <c r="C12" s="44"/>
      <c r="D12" s="43"/>
      <c r="E12" s="43"/>
      <c r="F12" s="44"/>
      <c r="G12" s="44"/>
      <c r="H12" s="38" t="str">
        <f aca="false">IF($A12="","",IF($F12="да",N($D12)+N($E12),0))</f>
        <v/>
      </c>
      <c r="J12" s="44"/>
      <c r="K12" s="44"/>
      <c r="L12" s="44"/>
      <c r="M12" s="43"/>
      <c r="N12" s="43"/>
      <c r="O12" s="38" t="str">
        <f aca="false">IF($K12="","",MAX(0,IF($M12="",ИНФА!$F$21,$M12)-N($N12)))</f>
        <v/>
      </c>
      <c r="P12" s="44"/>
      <c r="Q12" s="44"/>
    </row>
    <row r="13" customFormat="false" ht="15" hidden="false" customHeight="false" outlineLevel="0" collapsed="false">
      <c r="A13" s="44"/>
      <c r="B13" s="44"/>
      <c r="C13" s="44"/>
      <c r="D13" s="43"/>
      <c r="E13" s="43"/>
      <c r="F13" s="44"/>
      <c r="G13" s="44"/>
      <c r="H13" s="38" t="str">
        <f aca="false">IF($A13="","",IF($F13="да",N($D13)+N($E13),0))</f>
        <v/>
      </c>
      <c r="J13" s="44"/>
      <c r="K13" s="44"/>
      <c r="L13" s="44"/>
      <c r="M13" s="43"/>
      <c r="N13" s="43"/>
      <c r="O13" s="38" t="str">
        <f aca="false">IF($K13="","",MAX(0,IF($M13="",ИНФА!$F$21,$M13)-N($N13)))</f>
        <v/>
      </c>
      <c r="P13" s="44"/>
      <c r="Q13" s="44"/>
    </row>
    <row r="14" customFormat="false" ht="15" hidden="false" customHeight="false" outlineLevel="0" collapsed="false">
      <c r="A14" s="44"/>
      <c r="B14" s="44"/>
      <c r="C14" s="44"/>
      <c r="D14" s="43"/>
      <c r="E14" s="43"/>
      <c r="F14" s="44"/>
      <c r="G14" s="44"/>
      <c r="H14" s="38" t="str">
        <f aca="false">IF($A14="","",IF($F14="да",N($D14)+N($E14),0))</f>
        <v/>
      </c>
      <c r="J14" s="44"/>
      <c r="K14" s="44"/>
      <c r="L14" s="44"/>
      <c r="M14" s="43"/>
      <c r="N14" s="43"/>
      <c r="O14" s="38" t="str">
        <f aca="false">IF($K14="","",MAX(0,IF($M14="",ИНФА!$F$21,$M14)-N($N14)))</f>
        <v/>
      </c>
      <c r="P14" s="44"/>
      <c r="Q14" s="44"/>
    </row>
    <row r="15" customFormat="false" ht="15" hidden="false" customHeight="false" outlineLevel="0" collapsed="false">
      <c r="A15" s="44"/>
      <c r="B15" s="44"/>
      <c r="C15" s="44"/>
      <c r="D15" s="43"/>
      <c r="E15" s="43"/>
      <c r="F15" s="44"/>
      <c r="G15" s="44"/>
      <c r="H15" s="38" t="str">
        <f aca="false">IF($A15="","",IF($F15="да",N($D15)+N($E15),0))</f>
        <v/>
      </c>
      <c r="J15" s="44"/>
      <c r="K15" s="44"/>
      <c r="L15" s="44"/>
      <c r="M15" s="43"/>
      <c r="N15" s="43"/>
      <c r="O15" s="38" t="str">
        <f aca="false">IF($K15="","",MAX(0,IF($M15="",ИНФА!$F$21,$M15)-N($N15)))</f>
        <v/>
      </c>
      <c r="P15" s="44"/>
      <c r="Q15" s="44"/>
    </row>
    <row r="16" customFormat="false" ht="15" hidden="false" customHeight="false" outlineLevel="0" collapsed="false">
      <c r="A16" s="44"/>
      <c r="B16" s="44"/>
      <c r="C16" s="44"/>
      <c r="D16" s="43"/>
      <c r="E16" s="43"/>
      <c r="F16" s="44"/>
      <c r="G16" s="44"/>
      <c r="H16" s="38" t="str">
        <f aca="false">IF($A16="","",IF($F16="да",N($D16)+N($E16),0))</f>
        <v/>
      </c>
      <c r="J16" s="44"/>
      <c r="K16" s="44"/>
      <c r="L16" s="44"/>
      <c r="M16" s="43"/>
      <c r="N16" s="43"/>
      <c r="O16" s="38" t="str">
        <f aca="false">IF($K16="","",MAX(0,IF($M16="",ИНФА!$F$21,$M16)-N($N16)))</f>
        <v/>
      </c>
      <c r="P16" s="44"/>
      <c r="Q16" s="44"/>
    </row>
    <row r="17" customFormat="false" ht="15" hidden="false" customHeight="false" outlineLevel="0" collapsed="false">
      <c r="A17" s="44"/>
      <c r="B17" s="44"/>
      <c r="C17" s="44"/>
      <c r="D17" s="43"/>
      <c r="E17" s="43"/>
      <c r="F17" s="44"/>
      <c r="G17" s="44"/>
      <c r="H17" s="38" t="str">
        <f aca="false">IF($A17="","",IF($F17="да",N($D17)+N($E17),0))</f>
        <v/>
      </c>
      <c r="J17" s="44"/>
      <c r="K17" s="44"/>
      <c r="L17" s="44"/>
      <c r="M17" s="43"/>
      <c r="N17" s="43"/>
      <c r="O17" s="38" t="str">
        <f aca="false">IF($K17="","",MAX(0,IF($M17="",ИНФА!$F$21,$M17)-N($N17)))</f>
        <v/>
      </c>
      <c r="P17" s="44"/>
      <c r="Q17" s="44"/>
    </row>
    <row r="18" customFormat="false" ht="15" hidden="false" customHeight="false" outlineLevel="0" collapsed="false">
      <c r="A18" s="44"/>
      <c r="B18" s="44"/>
      <c r="C18" s="44"/>
      <c r="D18" s="43"/>
      <c r="E18" s="43"/>
      <c r="F18" s="44"/>
      <c r="G18" s="44"/>
      <c r="H18" s="38" t="str">
        <f aca="false">IF($A18="","",IF($F18="да",N($D18)+N($E18),0))</f>
        <v/>
      </c>
      <c r="J18" s="44"/>
      <c r="K18" s="44"/>
      <c r="L18" s="44"/>
      <c r="M18" s="43"/>
      <c r="N18" s="43"/>
      <c r="O18" s="38" t="str">
        <f aca="false">IF($K18="","",MAX(0,IF($M18="",ИНФА!$F$21,$M18)-N($N18)))</f>
        <v/>
      </c>
      <c r="P18" s="44"/>
      <c r="Q18" s="44"/>
    </row>
    <row r="19" customFormat="false" ht="15" hidden="false" customHeight="false" outlineLevel="0" collapsed="false">
      <c r="A19" s="44"/>
      <c r="B19" s="44"/>
      <c r="C19" s="44"/>
      <c r="D19" s="43"/>
      <c r="E19" s="43"/>
      <c r="F19" s="44"/>
      <c r="G19" s="44"/>
      <c r="H19" s="38" t="str">
        <f aca="false">IF($A19="","",IF($F19="да",N($D19)+N($E19),0))</f>
        <v/>
      </c>
      <c r="J19" s="44"/>
      <c r="K19" s="44"/>
      <c r="L19" s="44"/>
      <c r="M19" s="43"/>
      <c r="N19" s="43"/>
      <c r="O19" s="38" t="str">
        <f aca="false">IF($K19="","",MAX(0,IF($M19="",ИНФА!$F$21,$M19)-N($N19)))</f>
        <v/>
      </c>
      <c r="P19" s="44"/>
      <c r="Q19" s="44"/>
    </row>
    <row r="20" customFormat="false" ht="15" hidden="false" customHeight="false" outlineLevel="0" collapsed="false">
      <c r="A20" s="44"/>
      <c r="B20" s="44"/>
      <c r="C20" s="44"/>
      <c r="D20" s="43"/>
      <c r="E20" s="43"/>
      <c r="F20" s="44"/>
      <c r="G20" s="44"/>
      <c r="H20" s="38" t="str">
        <f aca="false">IF($A20="","",IF($F20="да",N($D20)+N($E20),0))</f>
        <v/>
      </c>
      <c r="J20" s="44"/>
      <c r="K20" s="44"/>
      <c r="L20" s="44"/>
      <c r="M20" s="43"/>
      <c r="N20" s="43"/>
      <c r="O20" s="38" t="str">
        <f aca="false">IF($K20="","",MAX(0,IF($M20="",ИНФА!$F$21,$M20)-N($N20)))</f>
        <v/>
      </c>
      <c r="P20" s="44"/>
      <c r="Q20" s="44"/>
    </row>
    <row r="21" customFormat="false" ht="15" hidden="false" customHeight="false" outlineLevel="0" collapsed="false">
      <c r="A21" s="44"/>
      <c r="B21" s="44"/>
      <c r="C21" s="44"/>
      <c r="D21" s="43"/>
      <c r="E21" s="43"/>
      <c r="F21" s="44"/>
      <c r="G21" s="44"/>
      <c r="H21" s="38" t="str">
        <f aca="false">IF($A21="","",IF($F21="да",N($D21)+N($E21),0))</f>
        <v/>
      </c>
      <c r="J21" s="44"/>
      <c r="K21" s="44"/>
      <c r="L21" s="44"/>
      <c r="M21" s="43"/>
      <c r="N21" s="43"/>
      <c r="O21" s="38" t="str">
        <f aca="false">IF($K21="","",MAX(0,IF($M21="",ИНФА!$F$21,$M21)-N($N21)))</f>
        <v/>
      </c>
      <c r="P21" s="44"/>
      <c r="Q21" s="44"/>
    </row>
    <row r="22" customFormat="false" ht="15" hidden="false" customHeight="false" outlineLevel="0" collapsed="false">
      <c r="A22" s="44"/>
      <c r="B22" s="44"/>
      <c r="C22" s="44"/>
      <c r="D22" s="43"/>
      <c r="E22" s="43"/>
      <c r="F22" s="44"/>
      <c r="G22" s="44"/>
      <c r="H22" s="38" t="str">
        <f aca="false">IF($A22="","",IF($F22="да",N($D22)+N($E22),0))</f>
        <v/>
      </c>
      <c r="J22" s="44"/>
      <c r="K22" s="44"/>
      <c r="L22" s="44"/>
      <c r="M22" s="43"/>
      <c r="N22" s="43"/>
      <c r="O22" s="38" t="str">
        <f aca="false">IF($K22="","",MAX(0,IF($M22="",ИНФА!$F$21,$M22)-N($N22)))</f>
        <v/>
      </c>
      <c r="P22" s="44"/>
      <c r="Q22" s="44"/>
    </row>
    <row r="23" customFormat="false" ht="15" hidden="false" customHeight="false" outlineLevel="0" collapsed="false">
      <c r="A23" s="44"/>
      <c r="B23" s="44"/>
      <c r="C23" s="44"/>
      <c r="D23" s="43"/>
      <c r="E23" s="43"/>
      <c r="F23" s="44"/>
      <c r="G23" s="44"/>
      <c r="H23" s="38" t="str">
        <f aca="false">IF($A23="","",IF($F23="да",N($D23)+N($E23),0))</f>
        <v/>
      </c>
      <c r="J23" s="44"/>
      <c r="K23" s="44"/>
      <c r="L23" s="44"/>
      <c r="M23" s="43"/>
      <c r="N23" s="43"/>
      <c r="O23" s="38" t="str">
        <f aca="false">IF($K23="","",MAX(0,IF($M23="",ИНФА!$F$21,$M23)-N($N23)))</f>
        <v/>
      </c>
      <c r="P23" s="44"/>
      <c r="Q23" s="44"/>
    </row>
    <row r="24" customFormat="false" ht="15" hidden="false" customHeight="false" outlineLevel="0" collapsed="false">
      <c r="A24" s="44"/>
      <c r="B24" s="44"/>
      <c r="C24" s="44"/>
      <c r="D24" s="43"/>
      <c r="E24" s="43"/>
      <c r="F24" s="44"/>
      <c r="G24" s="44"/>
      <c r="H24" s="38" t="str">
        <f aca="false">IF($A24="","",IF($F24="да",N($D24)+N($E24),0))</f>
        <v/>
      </c>
      <c r="J24" s="44"/>
      <c r="K24" s="44"/>
      <c r="L24" s="44"/>
      <c r="M24" s="43"/>
      <c r="N24" s="43"/>
      <c r="O24" s="38" t="str">
        <f aca="false">IF($K24="","",MAX(0,IF($M24="",ИНФА!$F$21,$M24)-N($N24)))</f>
        <v/>
      </c>
      <c r="P24" s="44"/>
      <c r="Q24" s="44"/>
    </row>
    <row r="25" customFormat="false" ht="15" hidden="false" customHeight="false" outlineLevel="0" collapsed="false">
      <c r="A25" s="44"/>
      <c r="B25" s="44"/>
      <c r="C25" s="44"/>
      <c r="D25" s="43"/>
      <c r="E25" s="43"/>
      <c r="F25" s="44"/>
      <c r="G25" s="44"/>
      <c r="H25" s="38" t="str">
        <f aca="false">IF($A25="","",IF($F25="да",N($D25)+N($E25),0))</f>
        <v/>
      </c>
      <c r="J25" s="44"/>
      <c r="K25" s="44"/>
      <c r="L25" s="44"/>
      <c r="M25" s="43"/>
      <c r="N25" s="43"/>
      <c r="O25" s="38" t="str">
        <f aca="false">IF($K25="","",MAX(0,IF($M25="",ИНФА!$F$21,$M25)-N($N25)))</f>
        <v/>
      </c>
      <c r="P25" s="44"/>
      <c r="Q25" s="44"/>
    </row>
    <row r="26" customFormat="false" ht="15" hidden="false" customHeight="false" outlineLevel="0" collapsed="false">
      <c r="A26" s="44"/>
      <c r="B26" s="44"/>
      <c r="C26" s="44"/>
      <c r="D26" s="43"/>
      <c r="E26" s="43"/>
      <c r="F26" s="44"/>
      <c r="G26" s="44"/>
      <c r="H26" s="38" t="str">
        <f aca="false">IF($A26="","",IF($F26="да",N($D26)+N($E26),0))</f>
        <v/>
      </c>
      <c r="J26" s="44"/>
      <c r="K26" s="44"/>
      <c r="L26" s="44"/>
      <c r="M26" s="43"/>
      <c r="N26" s="43"/>
      <c r="O26" s="38" t="str">
        <f aca="false">IF($K26="","",MAX(0,IF($M26="",ИНФА!$F$21,$M26)-N($N26)))</f>
        <v/>
      </c>
      <c r="P26" s="44"/>
      <c r="Q26" s="44"/>
    </row>
    <row r="27" customFormat="false" ht="15" hidden="false" customHeight="false" outlineLevel="0" collapsed="false">
      <c r="A27" s="44"/>
      <c r="B27" s="44"/>
      <c r="C27" s="44"/>
      <c r="D27" s="43"/>
      <c r="E27" s="43"/>
      <c r="F27" s="44"/>
      <c r="G27" s="44"/>
      <c r="H27" s="38" t="str">
        <f aca="false">IF($A27="","",IF($F27="да",N($D27)+N($E27),0))</f>
        <v/>
      </c>
      <c r="J27" s="44"/>
      <c r="K27" s="44"/>
      <c r="L27" s="44"/>
      <c r="M27" s="43"/>
      <c r="N27" s="43"/>
      <c r="O27" s="38" t="str">
        <f aca="false">IF($K27="","",MAX(0,IF($M27="",ИНФА!$F$21,$M27)-N($N27)))</f>
        <v/>
      </c>
      <c r="P27" s="44"/>
      <c r="Q27" s="44"/>
    </row>
    <row r="28" customFormat="false" ht="15" hidden="false" customHeight="false" outlineLevel="0" collapsed="false">
      <c r="A28" s="44"/>
      <c r="B28" s="44"/>
      <c r="C28" s="44"/>
      <c r="D28" s="43"/>
      <c r="E28" s="43"/>
      <c r="F28" s="44"/>
      <c r="G28" s="44"/>
      <c r="H28" s="38" t="str">
        <f aca="false">IF($A28="","",IF($F28="да",N($D28)+N($E28),0))</f>
        <v/>
      </c>
      <c r="J28" s="44"/>
      <c r="K28" s="44"/>
      <c r="L28" s="44"/>
      <c r="M28" s="43"/>
      <c r="N28" s="43"/>
      <c r="O28" s="38" t="str">
        <f aca="false">IF($K28="","",MAX(0,IF($M28="",ИНФА!$F$21,$M28)-N($N28)))</f>
        <v/>
      </c>
      <c r="P28" s="44"/>
      <c r="Q28" s="44"/>
    </row>
    <row r="29" customFormat="false" ht="15" hidden="false" customHeight="false" outlineLevel="0" collapsed="false">
      <c r="A29" s="44"/>
      <c r="B29" s="44"/>
      <c r="C29" s="44"/>
      <c r="D29" s="43"/>
      <c r="E29" s="43"/>
      <c r="F29" s="44"/>
      <c r="G29" s="44"/>
      <c r="H29" s="38" t="str">
        <f aca="false">IF($A29="","",IF($F29="да",N($D29)+N($E29),0))</f>
        <v/>
      </c>
      <c r="J29" s="44"/>
      <c r="K29" s="44"/>
      <c r="L29" s="44"/>
      <c r="M29" s="43"/>
      <c r="N29" s="43"/>
      <c r="O29" s="38" t="str">
        <f aca="false">IF($K29="","",MAX(0,IF($M29="",ИНФА!$F$21,$M29)-N($N29)))</f>
        <v/>
      </c>
      <c r="P29" s="44"/>
      <c r="Q29" s="44"/>
    </row>
    <row r="30" customFormat="false" ht="15" hidden="false" customHeight="false" outlineLevel="0" collapsed="false">
      <c r="A30" s="44"/>
      <c r="B30" s="44"/>
      <c r="C30" s="44"/>
      <c r="D30" s="43"/>
      <c r="E30" s="43"/>
      <c r="F30" s="44"/>
      <c r="G30" s="44"/>
      <c r="H30" s="38" t="str">
        <f aca="false">IF($A30="","",IF($F30="да",N($D30)+N($E30),0))</f>
        <v/>
      </c>
      <c r="J30" s="44"/>
      <c r="K30" s="44"/>
      <c r="L30" s="44"/>
      <c r="M30" s="43"/>
      <c r="N30" s="43"/>
      <c r="O30" s="38" t="str">
        <f aca="false">IF($K30="","",MAX(0,IF($M30="",ИНФА!$F$21,$M30)-N($N30)))</f>
        <v/>
      </c>
      <c r="P30" s="44"/>
      <c r="Q30" s="44"/>
    </row>
    <row r="31" customFormat="false" ht="15" hidden="false" customHeight="false" outlineLevel="0" collapsed="false">
      <c r="A31" s="44"/>
      <c r="B31" s="44"/>
      <c r="C31" s="44"/>
      <c r="D31" s="43"/>
      <c r="E31" s="43"/>
      <c r="F31" s="44"/>
      <c r="G31" s="44"/>
      <c r="H31" s="38" t="str">
        <f aca="false">IF($A31="","",IF($F31="да",N($D31)+N($E31),0))</f>
        <v/>
      </c>
      <c r="J31" s="44"/>
      <c r="K31" s="44"/>
      <c r="L31" s="44"/>
      <c r="M31" s="43"/>
      <c r="N31" s="43"/>
      <c r="O31" s="38" t="str">
        <f aca="false">IF($K31="","",MAX(0,IF($M31="",ИНФА!$F$21,$M31)-N($N31)))</f>
        <v/>
      </c>
      <c r="P31" s="44"/>
      <c r="Q31" s="44"/>
    </row>
    <row r="32" customFormat="false" ht="15" hidden="false" customHeight="false" outlineLevel="0" collapsed="false">
      <c r="A32" s="44"/>
      <c r="B32" s="44"/>
      <c r="C32" s="44"/>
      <c r="D32" s="43"/>
      <c r="E32" s="43"/>
      <c r="F32" s="44"/>
      <c r="G32" s="44"/>
      <c r="H32" s="38" t="str">
        <f aca="false">IF($A32="","",IF($F32="да",N($D32)+N($E32),0))</f>
        <v/>
      </c>
      <c r="J32" s="44"/>
      <c r="K32" s="44"/>
      <c r="L32" s="44"/>
      <c r="M32" s="43"/>
      <c r="N32" s="43"/>
      <c r="O32" s="38" t="str">
        <f aca="false">IF($K32="","",MAX(0,IF($M32="",ИНФА!$F$21,$M32)-N($N32)))</f>
        <v/>
      </c>
      <c r="P32" s="44"/>
      <c r="Q32" s="44"/>
    </row>
    <row r="33" customFormat="false" ht="15" hidden="false" customHeight="false" outlineLevel="0" collapsed="false">
      <c r="A33" s="44"/>
      <c r="B33" s="44"/>
      <c r="C33" s="44"/>
      <c r="D33" s="43"/>
      <c r="E33" s="43"/>
      <c r="F33" s="44"/>
      <c r="G33" s="44"/>
      <c r="H33" s="38" t="str">
        <f aca="false">IF($A33="","",IF($F33="да",N($D33)+N($E33),0))</f>
        <v/>
      </c>
      <c r="J33" s="44"/>
      <c r="K33" s="44"/>
      <c r="L33" s="44"/>
      <c r="M33" s="43"/>
      <c r="N33" s="43"/>
      <c r="O33" s="38" t="str">
        <f aca="false">IF($K33="","",MAX(0,IF($M33="",ИНФА!$F$21,$M33)-N($N33)))</f>
        <v/>
      </c>
      <c r="P33" s="44"/>
      <c r="Q33" s="44"/>
    </row>
    <row r="34" customFormat="false" ht="15" hidden="false" customHeight="false" outlineLevel="0" collapsed="false">
      <c r="A34" s="44"/>
      <c r="B34" s="44"/>
      <c r="C34" s="44"/>
      <c r="D34" s="43"/>
      <c r="E34" s="43"/>
      <c r="F34" s="44"/>
      <c r="G34" s="44"/>
      <c r="H34" s="38" t="str">
        <f aca="false">IF($A34="","",IF($F34="да",N($D34)+N($E34),0))</f>
        <v/>
      </c>
      <c r="J34" s="44"/>
      <c r="K34" s="44"/>
      <c r="L34" s="44"/>
      <c r="M34" s="43"/>
      <c r="N34" s="43"/>
      <c r="O34" s="38" t="str">
        <f aca="false">IF($K34="","",MAX(0,IF($M34="",ИНФА!$F$21,$M34)-N($N34)))</f>
        <v/>
      </c>
      <c r="P34" s="44"/>
      <c r="Q34" s="44"/>
    </row>
    <row r="35" customFormat="false" ht="15" hidden="false" customHeight="false" outlineLevel="0" collapsed="false">
      <c r="A35" s="44"/>
      <c r="B35" s="44"/>
      <c r="C35" s="44"/>
      <c r="D35" s="43"/>
      <c r="E35" s="43"/>
      <c r="F35" s="44"/>
      <c r="G35" s="44"/>
      <c r="H35" s="38" t="str">
        <f aca="false">IF($A35="","",IF($F35="да",N($D35)+N($E35),0))</f>
        <v/>
      </c>
      <c r="J35" s="44"/>
      <c r="K35" s="44"/>
      <c r="L35" s="44"/>
      <c r="M35" s="43"/>
      <c r="N35" s="43"/>
      <c r="O35" s="38" t="str">
        <f aca="false">IF($K35="","",MAX(0,IF($M35="",ИНФА!$F$21,$M35)-N($N35)))</f>
        <v/>
      </c>
      <c r="P35" s="44"/>
      <c r="Q35" s="44"/>
    </row>
    <row r="36" customFormat="false" ht="15" hidden="false" customHeight="false" outlineLevel="0" collapsed="false">
      <c r="A36" s="44"/>
      <c r="B36" s="44"/>
      <c r="C36" s="44"/>
      <c r="D36" s="43"/>
      <c r="E36" s="43"/>
      <c r="F36" s="44"/>
      <c r="G36" s="44"/>
      <c r="H36" s="38" t="str">
        <f aca="false">IF($A36="","",IF($F36="да",N($D36)+N($E36),0))</f>
        <v/>
      </c>
      <c r="J36" s="44"/>
      <c r="K36" s="44"/>
      <c r="L36" s="44"/>
      <c r="M36" s="43"/>
      <c r="N36" s="43"/>
      <c r="O36" s="38" t="str">
        <f aca="false">IF($K36="","",MAX(0,IF($M36="",ИНФА!$F$21,$M36)-N($N36)))</f>
        <v/>
      </c>
      <c r="P36" s="44"/>
      <c r="Q36" s="44"/>
    </row>
    <row r="37" customFormat="false" ht="15" hidden="false" customHeight="false" outlineLevel="0" collapsed="false">
      <c r="A37" s="44"/>
      <c r="B37" s="44"/>
      <c r="C37" s="44"/>
      <c r="D37" s="43"/>
      <c r="E37" s="43"/>
      <c r="F37" s="44"/>
      <c r="G37" s="44"/>
      <c r="H37" s="38" t="str">
        <f aca="false">IF($A37="","",IF($F37="да",N($D37)+N($E37),0))</f>
        <v/>
      </c>
      <c r="J37" s="44"/>
      <c r="K37" s="44"/>
      <c r="L37" s="44"/>
      <c r="M37" s="43"/>
      <c r="N37" s="43"/>
      <c r="O37" s="38" t="str">
        <f aca="false">IF($K37="","",MAX(0,IF($M37="",ИНФА!$F$21,$M37)-N($N37)))</f>
        <v/>
      </c>
      <c r="P37" s="44"/>
      <c r="Q37" s="44"/>
    </row>
    <row r="38" customFormat="false" ht="15" hidden="false" customHeight="false" outlineLevel="0" collapsed="false">
      <c r="A38" s="44"/>
      <c r="B38" s="44"/>
      <c r="C38" s="44"/>
      <c r="D38" s="43"/>
      <c r="E38" s="43"/>
      <c r="F38" s="44"/>
      <c r="G38" s="44"/>
      <c r="H38" s="38" t="str">
        <f aca="false">IF($A38="","",IF($F38="да",N($D38)+N($E38),0))</f>
        <v/>
      </c>
      <c r="J38" s="44"/>
      <c r="K38" s="44"/>
      <c r="L38" s="44"/>
      <c r="M38" s="43"/>
      <c r="N38" s="43"/>
      <c r="O38" s="38" t="str">
        <f aca="false">IF($K38="","",MAX(0,IF($M38="",ИНФА!$F$21,$M38)-N($N38)))</f>
        <v/>
      </c>
      <c r="P38" s="44"/>
      <c r="Q38" s="44"/>
    </row>
    <row r="39" customFormat="false" ht="15" hidden="false" customHeight="false" outlineLevel="0" collapsed="false">
      <c r="A39" s="44"/>
      <c r="B39" s="44"/>
      <c r="C39" s="44"/>
      <c r="D39" s="43"/>
      <c r="E39" s="43"/>
      <c r="F39" s="44"/>
      <c r="G39" s="44"/>
      <c r="H39" s="38" t="str">
        <f aca="false">IF($A39="","",IF($F39="да",N($D39)+N($E39),0))</f>
        <v/>
      </c>
      <c r="J39" s="44"/>
      <c r="K39" s="44"/>
      <c r="L39" s="44"/>
      <c r="M39" s="43"/>
      <c r="N39" s="43"/>
      <c r="O39" s="38" t="str">
        <f aca="false">IF($K39="","",MAX(0,IF($M39="",ИНФА!$F$21,$M39)-N($N39)))</f>
        <v/>
      </c>
      <c r="P39" s="44"/>
      <c r="Q39" s="44"/>
    </row>
    <row r="40" customFormat="false" ht="15" hidden="false" customHeight="false" outlineLevel="0" collapsed="false">
      <c r="A40" s="44"/>
      <c r="B40" s="44"/>
      <c r="C40" s="44"/>
      <c r="D40" s="43"/>
      <c r="E40" s="43"/>
      <c r="F40" s="44"/>
      <c r="G40" s="44"/>
      <c r="H40" s="38" t="str">
        <f aca="false">IF($A40="","",IF($F40="да",N($D40)+N($E40),0))</f>
        <v/>
      </c>
      <c r="J40" s="44"/>
      <c r="K40" s="44"/>
      <c r="L40" s="44"/>
      <c r="M40" s="43"/>
      <c r="N40" s="43"/>
      <c r="O40" s="38" t="str">
        <f aca="false">IF($K40="","",MAX(0,IF($M40="",ИНФА!$F$21,$M40)-N($N40)))</f>
        <v/>
      </c>
      <c r="P40" s="44"/>
      <c r="Q40" s="44"/>
    </row>
    <row r="41" customFormat="false" ht="15" hidden="false" customHeight="false" outlineLevel="0" collapsed="false">
      <c r="A41" s="44"/>
      <c r="B41" s="44"/>
      <c r="C41" s="44"/>
      <c r="D41" s="43"/>
      <c r="E41" s="43"/>
      <c r="F41" s="44"/>
      <c r="G41" s="44"/>
      <c r="H41" s="38" t="str">
        <f aca="false">IF($A41="","",IF($F41="да",N($D41)+N($E41),0))</f>
        <v/>
      </c>
      <c r="J41" s="44"/>
      <c r="K41" s="44"/>
      <c r="L41" s="44"/>
      <c r="M41" s="43"/>
      <c r="N41" s="43"/>
      <c r="O41" s="38" t="str">
        <f aca="false">IF($K41="","",MAX(0,IF($M41="",ИНФА!$F$21,$M41)-N($N41)))</f>
        <v/>
      </c>
      <c r="P41" s="44"/>
      <c r="Q41" s="44"/>
    </row>
    <row r="42" customFormat="false" ht="15" hidden="false" customHeight="false" outlineLevel="0" collapsed="false">
      <c r="A42" s="44"/>
      <c r="B42" s="44"/>
      <c r="C42" s="44"/>
      <c r="D42" s="43"/>
      <c r="E42" s="43"/>
      <c r="F42" s="44"/>
      <c r="G42" s="44"/>
      <c r="H42" s="38" t="str">
        <f aca="false">IF($A42="","",IF($F42="да",N($D42)+N($E42),0))</f>
        <v/>
      </c>
      <c r="J42" s="44"/>
      <c r="K42" s="44"/>
      <c r="L42" s="44"/>
      <c r="M42" s="43"/>
      <c r="N42" s="43"/>
      <c r="O42" s="38" t="str">
        <f aca="false">IF($K42="","",MAX(0,IF($M42="",ИНФА!$F$21,$M42)-N($N42)))</f>
        <v/>
      </c>
      <c r="P42" s="44"/>
      <c r="Q42" s="44"/>
    </row>
    <row r="43" customFormat="false" ht="15" hidden="false" customHeight="false" outlineLevel="0" collapsed="false">
      <c r="A43" s="44"/>
      <c r="B43" s="44"/>
      <c r="C43" s="44"/>
      <c r="D43" s="43"/>
      <c r="E43" s="43"/>
      <c r="F43" s="44"/>
      <c r="G43" s="44"/>
      <c r="H43" s="38" t="str">
        <f aca="false">IF($A43="","",IF($F43="да",N($D43)+N($E43),0))</f>
        <v/>
      </c>
      <c r="J43" s="44"/>
      <c r="K43" s="44"/>
      <c r="L43" s="44"/>
      <c r="M43" s="43"/>
      <c r="N43" s="43"/>
      <c r="O43" s="38" t="str">
        <f aca="false">IF($K43="","",MAX(0,IF($M43="",ИНФА!$F$21,$M43)-N($N43)))</f>
        <v/>
      </c>
      <c r="P43" s="44"/>
      <c r="Q43" s="44"/>
    </row>
    <row r="44" customFormat="false" ht="15" hidden="false" customHeight="false" outlineLevel="0" collapsed="false">
      <c r="A44" s="44"/>
      <c r="B44" s="44"/>
      <c r="C44" s="44"/>
      <c r="D44" s="43"/>
      <c r="E44" s="43"/>
      <c r="F44" s="44"/>
      <c r="G44" s="44"/>
      <c r="H44" s="38" t="str">
        <f aca="false">IF($A44="","",IF($F44="да",N($D44)+N($E44),0))</f>
        <v/>
      </c>
      <c r="J44" s="44"/>
      <c r="K44" s="44"/>
      <c r="L44" s="44"/>
      <c r="M44" s="43"/>
      <c r="N44" s="43"/>
      <c r="O44" s="38" t="str">
        <f aca="false">IF($K44="","",MAX(0,IF($M44="",ИНФА!$F$21,$M44)-N($N44)))</f>
        <v/>
      </c>
      <c r="P44" s="44"/>
      <c r="Q44" s="44"/>
    </row>
    <row r="45" customFormat="false" ht="15" hidden="false" customHeight="false" outlineLevel="0" collapsed="false">
      <c r="J45" s="44"/>
      <c r="K45" s="44"/>
      <c r="L45" s="44"/>
      <c r="M45" s="43"/>
      <c r="N45" s="43"/>
      <c r="O45" s="38" t="str">
        <f aca="false">IF($K45="","",MAX(0,IF($M45="",ИНФА!$F$21,$M45)-N($N45)))</f>
        <v/>
      </c>
      <c r="P45" s="44"/>
      <c r="Q45" s="44"/>
    </row>
    <row r="46" customFormat="false" ht="15" hidden="false" customHeight="false" outlineLevel="0" collapsed="false">
      <c r="J46" s="44"/>
      <c r="K46" s="44"/>
      <c r="L46" s="44"/>
      <c r="M46" s="43"/>
      <c r="N46" s="43"/>
      <c r="O46" s="38" t="str">
        <f aca="false">IF($K46="","",MAX(0,IF($M46="",ИНФА!$F$21,$M46)-N($N46)))</f>
        <v/>
      </c>
      <c r="P46" s="44"/>
      <c r="Q46" s="44"/>
    </row>
    <row r="47" customFormat="false" ht="15" hidden="false" customHeight="false" outlineLevel="0" collapsed="false">
      <c r="J47" s="44"/>
      <c r="K47" s="44"/>
      <c r="L47" s="44"/>
      <c r="M47" s="43"/>
      <c r="N47" s="43"/>
      <c r="O47" s="38" t="str">
        <f aca="false">IF($K47="","",MAX(0,IF($M47="",ИНФА!$F$21,$M47)-N($N47)))</f>
        <v/>
      </c>
      <c r="P47" s="44"/>
      <c r="Q47" s="44"/>
    </row>
    <row r="48" customFormat="false" ht="15" hidden="false" customHeight="false" outlineLevel="0" collapsed="false">
      <c r="J48" s="44"/>
      <c r="K48" s="44"/>
      <c r="L48" s="44"/>
      <c r="M48" s="43"/>
      <c r="N48" s="43"/>
      <c r="O48" s="38" t="str">
        <f aca="false">IF($K48="","",MAX(0,IF($M48="",ИНФА!$F$21,$M48)-N($N48)))</f>
        <v/>
      </c>
      <c r="P48" s="44"/>
      <c r="Q48" s="44"/>
    </row>
    <row r="49" customFormat="false" ht="15" hidden="false" customHeight="false" outlineLevel="0" collapsed="false">
      <c r="J49" s="44"/>
      <c r="K49" s="44"/>
      <c r="L49" s="44"/>
      <c r="M49" s="43"/>
      <c r="N49" s="43"/>
      <c r="O49" s="38" t="str">
        <f aca="false">IF($K49="","",MAX(0,IF($M49="",ИНФА!$F$21,$M49)-N($N49)))</f>
        <v/>
      </c>
      <c r="P49" s="44"/>
      <c r="Q49" s="44"/>
    </row>
    <row r="50" customFormat="false" ht="15" hidden="false" customHeight="false" outlineLevel="0" collapsed="false">
      <c r="J50" s="44"/>
      <c r="K50" s="44"/>
      <c r="L50" s="44"/>
      <c r="M50" s="43"/>
      <c r="N50" s="43"/>
      <c r="O50" s="38" t="str">
        <f aca="false">IF($K50="","",MAX(0,IF($M50="",ИНФА!$F$21,$M50)-N($N50)))</f>
        <v/>
      </c>
      <c r="P50" s="44"/>
      <c r="Q50" s="44"/>
    </row>
    <row r="51" customFormat="false" ht="15" hidden="false" customHeight="false" outlineLevel="0" collapsed="false">
      <c r="J51" s="44"/>
      <c r="K51" s="44"/>
      <c r="L51" s="44"/>
      <c r="M51" s="43"/>
      <c r="N51" s="43"/>
      <c r="O51" s="38" t="str">
        <f aca="false">IF($K51="","",MAX(0,IF($M51="",ИНФА!$F$21,$M51)-N($N51)))</f>
        <v/>
      </c>
      <c r="P51" s="44"/>
      <c r="Q51" s="44"/>
    </row>
    <row r="52" customFormat="false" ht="15" hidden="false" customHeight="false" outlineLevel="0" collapsed="false">
      <c r="J52" s="44"/>
      <c r="K52" s="44"/>
      <c r="L52" s="44"/>
      <c r="M52" s="43"/>
      <c r="N52" s="43"/>
      <c r="O52" s="38" t="str">
        <f aca="false">IF($K52="","",MAX(0,IF($M52="",ИНФА!$F$21,$M52)-N($N52)))</f>
        <v/>
      </c>
      <c r="P52" s="44"/>
      <c r="Q52" s="44"/>
    </row>
    <row r="53" customFormat="false" ht="15" hidden="false" customHeight="false" outlineLevel="0" collapsed="false">
      <c r="J53" s="44"/>
      <c r="K53" s="44"/>
      <c r="L53" s="44"/>
      <c r="M53" s="43"/>
      <c r="N53" s="43"/>
      <c r="O53" s="38" t="str">
        <f aca="false">IF($K53="","",MAX(0,IF($M53="",ИНФА!$F$21,$M53)-N($N53)))</f>
        <v/>
      </c>
      <c r="P53" s="44"/>
      <c r="Q53" s="44"/>
    </row>
    <row r="54" customFormat="false" ht="15" hidden="false" customHeight="false" outlineLevel="0" collapsed="false">
      <c r="J54" s="44"/>
      <c r="K54" s="44"/>
      <c r="L54" s="44"/>
      <c r="M54" s="43"/>
      <c r="N54" s="43"/>
      <c r="O54" s="38" t="str">
        <f aca="false">IF($K54="","",MAX(0,IF($M54="",ИНФА!$F$21,$M54)-N($N54)))</f>
        <v/>
      </c>
      <c r="P54" s="44"/>
      <c r="Q54" s="44"/>
    </row>
    <row r="55" customFormat="false" ht="15" hidden="false" customHeight="false" outlineLevel="0" collapsed="false">
      <c r="J55" s="44"/>
      <c r="K55" s="44"/>
      <c r="L55" s="44"/>
      <c r="M55" s="43"/>
      <c r="N55" s="43"/>
      <c r="O55" s="38" t="str">
        <f aca="false">IF($K55="","",MAX(0,IF($M55="",ИНФА!$F$21,$M55)-N($N55)))</f>
        <v/>
      </c>
      <c r="P55" s="44"/>
      <c r="Q55" s="44"/>
    </row>
    <row r="56" customFormat="false" ht="15" hidden="false" customHeight="false" outlineLevel="0" collapsed="false">
      <c r="J56" s="44"/>
      <c r="K56" s="44"/>
      <c r="L56" s="44"/>
      <c r="M56" s="43"/>
      <c r="N56" s="43"/>
      <c r="O56" s="38" t="str">
        <f aca="false">IF($K56="","",MAX(0,IF($M56="",ИНФА!$F$21,$M56)-N($N56)))</f>
        <v/>
      </c>
      <c r="P56" s="44"/>
      <c r="Q56" s="44"/>
    </row>
    <row r="57" customFormat="false" ht="15" hidden="false" customHeight="false" outlineLevel="0" collapsed="false">
      <c r="J57" s="44"/>
      <c r="K57" s="44"/>
      <c r="L57" s="44"/>
      <c r="M57" s="43"/>
      <c r="N57" s="43"/>
      <c r="O57" s="38" t="str">
        <f aca="false">IF($K57="","",MAX(0,IF($M57="",ИНФА!$F$21,$M57)-N($N57)))</f>
        <v/>
      </c>
      <c r="P57" s="44"/>
      <c r="Q57" s="44"/>
    </row>
    <row r="58" customFormat="false" ht="15" hidden="false" customHeight="false" outlineLevel="0" collapsed="false">
      <c r="J58" s="44"/>
      <c r="K58" s="44"/>
      <c r="L58" s="44"/>
      <c r="M58" s="43"/>
      <c r="N58" s="43"/>
      <c r="O58" s="38" t="str">
        <f aca="false">IF($K58="","",MAX(0,IF($M58="",ИНФА!$F$21,$M58)-N($N58)))</f>
        <v/>
      </c>
      <c r="P58" s="44"/>
      <c r="Q58" s="44"/>
    </row>
    <row r="59" customFormat="false" ht="15" hidden="false" customHeight="false" outlineLevel="0" collapsed="false">
      <c r="J59" s="44"/>
      <c r="K59" s="44"/>
      <c r="L59" s="44"/>
      <c r="M59" s="43"/>
      <c r="N59" s="43"/>
      <c r="O59" s="38" t="str">
        <f aca="false">IF($K59="","",MAX(0,IF($M59="",ИНФА!$F$21,$M59)-N($N59)))</f>
        <v/>
      </c>
      <c r="P59" s="44"/>
      <c r="Q59" s="44"/>
    </row>
    <row r="60" customFormat="false" ht="15" hidden="false" customHeight="false" outlineLevel="0" collapsed="false">
      <c r="J60" s="44"/>
      <c r="K60" s="44"/>
      <c r="L60" s="44"/>
      <c r="M60" s="43"/>
      <c r="N60" s="43"/>
      <c r="O60" s="38" t="str">
        <f aca="false">IF($K60="","",MAX(0,IF($M60="",ИНФА!$F$21,$M60)-N($N60)))</f>
        <v/>
      </c>
      <c r="P60" s="44"/>
      <c r="Q60" s="44"/>
    </row>
    <row r="61" customFormat="false" ht="15" hidden="false" customHeight="false" outlineLevel="0" collapsed="false">
      <c r="J61" s="44"/>
      <c r="K61" s="44"/>
      <c r="L61" s="44"/>
      <c r="M61" s="43"/>
      <c r="N61" s="43"/>
      <c r="O61" s="38" t="str">
        <f aca="false">IF($K61="","",MAX(0,IF($M61="",ИНФА!$F$21,$M61)-N($N61)))</f>
        <v/>
      </c>
      <c r="P61" s="44"/>
      <c r="Q61" s="44"/>
    </row>
    <row r="62" customFormat="false" ht="15" hidden="false" customHeight="false" outlineLevel="0" collapsed="false">
      <c r="J62" s="44"/>
      <c r="K62" s="44"/>
      <c r="L62" s="44"/>
      <c r="M62" s="43"/>
      <c r="N62" s="43"/>
      <c r="O62" s="38" t="str">
        <f aca="false">IF($K62="","",MAX(0,IF($M62="",ИНФА!$F$21,$M62)-N($N62)))</f>
        <v/>
      </c>
      <c r="P62" s="44"/>
      <c r="Q62" s="44"/>
    </row>
    <row r="63" customFormat="false" ht="15" hidden="false" customHeight="false" outlineLevel="0" collapsed="false">
      <c r="J63" s="44"/>
      <c r="K63" s="44"/>
      <c r="L63" s="44"/>
      <c r="M63" s="43"/>
      <c r="N63" s="43"/>
      <c r="O63" s="38" t="str">
        <f aca="false">IF($K63="","",MAX(0,IF($M63="",ИНФА!$F$21,$M63)-N($N63)))</f>
        <v/>
      </c>
      <c r="P63" s="44"/>
      <c r="Q63" s="44"/>
    </row>
    <row r="64" customFormat="false" ht="15" hidden="false" customHeight="false" outlineLevel="0" collapsed="false">
      <c r="J64" s="44"/>
      <c r="K64" s="44"/>
      <c r="L64" s="44"/>
      <c r="M64" s="43"/>
      <c r="N64" s="43"/>
      <c r="O64" s="38" t="str">
        <f aca="false">IF($K64="","",MAX(0,IF($M64="",ИНФА!$F$21,$M64)-N($N64)))</f>
        <v/>
      </c>
      <c r="P64" s="44"/>
      <c r="Q64" s="44"/>
    </row>
  </sheetData>
  <dataValidations count="6">
    <dataValidation allowBlank="true" error="Целое число от 1 до 10." errorStyle="stop" operator="between" showDropDown="false" showErrorMessage="true" showInputMessage="false" sqref="G5:G44 J5:J64 Q5:Q64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A5:A4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F5:F44" type="list">
      <formula1>"да,нет"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K5:K6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P5:P64" type="list">
      <formula1>"да,нет"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L5:L64" type="list">
      <formula1>"Сделка без регистрации,Деньги или отметки вне учёта,Два бонуса на один расход,Скрытый долг,Нарушение порядка на станции,Другое"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false"/>
  </sheetPr>
  <dimension ref="A1:N8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28"/>
    <col collapsed="false" customWidth="true" hidden="false" outlineLevel="0" max="10" min="10" style="0" width="26"/>
    <col collapsed="false" customWidth="true" hidden="false" outlineLevel="0" max="11" min="11" style="0" width="14"/>
    <col collapsed="false" customWidth="true" hidden="false" outlineLevel="0" max="12" min="12" style="0" width="10"/>
    <col collapsed="false" customWidth="true" hidden="false" outlineLevel="0" max="13" min="13" style="0" width="11"/>
    <col collapsed="false" customWidth="true" hidden="false" outlineLevel="0" max="14" min="14" style="0" width="60"/>
  </cols>
  <sheetData>
    <row r="1" customFormat="false" ht="17.35" hidden="false" customHeight="false" outlineLevel="0" collapsed="false">
      <c r="A1" s="8" t="s">
        <v>622</v>
      </c>
    </row>
    <row r="2" customFormat="false" ht="15" hidden="false" customHeight="false" outlineLevel="0" collapsed="false">
      <c r="A2" s="2" t="s">
        <v>623</v>
      </c>
    </row>
    <row r="3" customFormat="false" ht="15" hidden="false" customHeight="false" outlineLevel="0" collapsed="false">
      <c r="J3" s="41" t="s">
        <v>624</v>
      </c>
    </row>
    <row r="4" customFormat="false" ht="42" hidden="false" customHeight="true" outlineLevel="0" collapsed="false">
      <c r="A4" s="9" t="s">
        <v>256</v>
      </c>
      <c r="B4" s="9" t="s">
        <v>100</v>
      </c>
      <c r="C4" s="9" t="s">
        <v>625</v>
      </c>
      <c r="D4" s="9" t="s">
        <v>626</v>
      </c>
      <c r="E4" s="9" t="s">
        <v>627</v>
      </c>
      <c r="F4" s="9" t="s">
        <v>628</v>
      </c>
      <c r="G4" s="9" t="s">
        <v>33</v>
      </c>
      <c r="H4" s="9" t="s">
        <v>254</v>
      </c>
      <c r="J4" s="9" t="s">
        <v>625</v>
      </c>
      <c r="K4" s="9" t="s">
        <v>33</v>
      </c>
      <c r="L4" s="9" t="s">
        <v>629</v>
      </c>
      <c r="M4" s="9" t="s">
        <v>630</v>
      </c>
      <c r="N4" s="9" t="s">
        <v>631</v>
      </c>
    </row>
    <row r="5" customFormat="false" ht="22.35" hidden="false" customHeight="false" outlineLevel="0" collapsed="false">
      <c r="A5" s="44"/>
      <c r="B5" s="44"/>
      <c r="C5" s="44"/>
      <c r="D5" s="44"/>
      <c r="E5" s="43"/>
      <c r="F5" s="42" t="str">
        <f aca="false">IF(OR($B5="",$C5=""),"",IF($E5&lt;&gt;"",$E5,IF(AND($D5="участник",INDEX($M$5:$M$15,MATCH($C5,$J$5:$J$15,0))&lt;&gt;""),INDEX($M$5:$M$15,MATCH($C5,$J$5:$J$15,0)),INDEX($L$5:$L$15,MATCH($C5,$J$5:$J$15,0)))))</f>
        <v/>
      </c>
      <c r="G5" s="37" t="str">
        <f aca="false">IF($C5="","",IFERROR(INDEX($K$5:$K$15,MATCH($C5,$J$5:$J$15,0)),""))</f>
        <v/>
      </c>
      <c r="H5" s="47" t="str">
        <f aca="false">IF($B5="","",IF(COUNTIFS($A$5:$A$84,$A5,$B$5:$B$84,$B5,$C$5:$C$84,$C5)&gt;1,"повтор: эта механика уже была у компании в этом цикле!",""))</f>
        <v/>
      </c>
      <c r="J5" s="15" t="s">
        <v>632</v>
      </c>
      <c r="K5" s="10" t="s">
        <v>633</v>
      </c>
      <c r="L5" s="16" t="n">
        <v>1000</v>
      </c>
      <c r="M5" s="16"/>
      <c r="N5" s="53" t="s">
        <v>634</v>
      </c>
    </row>
    <row r="6" customFormat="false" ht="15" hidden="false" customHeight="false" outlineLevel="0" collapsed="false">
      <c r="A6" s="44"/>
      <c r="B6" s="44"/>
      <c r="C6" s="44"/>
      <c r="D6" s="44"/>
      <c r="E6" s="43"/>
      <c r="F6" s="42" t="str">
        <f aca="false">IF(OR($B6="",$C6=""),"",IF($E6&lt;&gt;"",$E6,IF(AND($D6="участник",INDEX($M$5:$M$15,MATCH($C6,$J$5:$J$15,0))&lt;&gt;""),INDEX($M$5:$M$15,MATCH($C6,$J$5:$J$15,0)),INDEX($L$5:$L$15,MATCH($C6,$J$5:$J$15,0)))))</f>
        <v/>
      </c>
      <c r="G6" s="37" t="str">
        <f aca="false">IF($C6="","",IFERROR(INDEX($K$5:$K$15,MATCH($C6,$J$5:$J$15,0)),""))</f>
        <v/>
      </c>
      <c r="H6" s="47" t="str">
        <f aca="false">IF($B6="","",IF(COUNTIFS($A$5:$A$84,$A6,$B$5:$B$84,$B6,$C$5:$C$84,$C6)&gt;1,"повтор: эта механика уже была у компании в этом цикле!",""))</f>
        <v/>
      </c>
      <c r="J6" s="15" t="s">
        <v>635</v>
      </c>
      <c r="K6" s="10" t="s">
        <v>633</v>
      </c>
      <c r="L6" s="16" t="n">
        <v>1000</v>
      </c>
      <c r="M6" s="16"/>
      <c r="N6" s="53" t="s">
        <v>636</v>
      </c>
    </row>
    <row r="7" customFormat="false" ht="15" hidden="false" customHeight="false" outlineLevel="0" collapsed="false">
      <c r="A7" s="44"/>
      <c r="B7" s="44"/>
      <c r="C7" s="44"/>
      <c r="D7" s="44"/>
      <c r="E7" s="43"/>
      <c r="F7" s="42" t="str">
        <f aca="false">IF(OR($B7="",$C7=""),"",IF($E7&lt;&gt;"",$E7,IF(AND($D7="участник",INDEX($M$5:$M$15,MATCH($C7,$J$5:$J$15,0))&lt;&gt;""),INDEX($M$5:$M$15,MATCH($C7,$J$5:$J$15,0)),INDEX($L$5:$L$15,MATCH($C7,$J$5:$J$15,0)))))</f>
        <v/>
      </c>
      <c r="G7" s="37" t="str">
        <f aca="false">IF($C7="","",IFERROR(INDEX($K$5:$K$15,MATCH($C7,$J$5:$J$15,0)),""))</f>
        <v/>
      </c>
      <c r="H7" s="47" t="str">
        <f aca="false">IF($B7="","",IF(COUNTIFS($A$5:$A$84,$A7,$B$5:$B$84,$B7,$C$5:$C$84,$C7)&gt;1,"повтор: эта механика уже была у компании в этом цикле!",""))</f>
        <v/>
      </c>
      <c r="J7" s="15" t="s">
        <v>637</v>
      </c>
      <c r="K7" s="10" t="s">
        <v>633</v>
      </c>
      <c r="L7" s="16" t="n">
        <v>1500</v>
      </c>
      <c r="M7" s="16" t="n">
        <v>500</v>
      </c>
      <c r="N7" s="53" t="s">
        <v>638</v>
      </c>
    </row>
    <row r="8" customFormat="false" ht="15" hidden="false" customHeight="false" outlineLevel="0" collapsed="false">
      <c r="A8" s="44"/>
      <c r="B8" s="44"/>
      <c r="C8" s="44"/>
      <c r="D8" s="44"/>
      <c r="E8" s="43"/>
      <c r="F8" s="42" t="str">
        <f aca="false">IF(OR($B8="",$C8=""),"",IF($E8&lt;&gt;"",$E8,IF(AND($D8="участник",INDEX($M$5:$M$15,MATCH($C8,$J$5:$J$15,0))&lt;&gt;""),INDEX($M$5:$M$15,MATCH($C8,$J$5:$J$15,0)),INDEX($L$5:$L$15,MATCH($C8,$J$5:$J$15,0)))))</f>
        <v/>
      </c>
      <c r="G8" s="37" t="str">
        <f aca="false">IF($C8="","",IFERROR(INDEX($K$5:$K$15,MATCH($C8,$J$5:$J$15,0)),""))</f>
        <v/>
      </c>
      <c r="H8" s="47" t="str">
        <f aca="false">IF($B8="","",IF(COUNTIFS($A$5:$A$84,$A8,$B$5:$B$84,$B8,$C$5:$C$84,$C8)&gt;1,"повтор: эта механика уже была у компании в этом цикле!",""))</f>
        <v/>
      </c>
      <c r="J8" s="15" t="s">
        <v>639</v>
      </c>
      <c r="K8" s="10" t="s">
        <v>633</v>
      </c>
      <c r="L8" s="16" t="n">
        <v>500</v>
      </c>
      <c r="M8" s="16"/>
      <c r="N8" s="53" t="s">
        <v>640</v>
      </c>
    </row>
    <row r="9" customFormat="false" ht="15" hidden="false" customHeight="false" outlineLevel="0" collapsed="false">
      <c r="A9" s="44"/>
      <c r="B9" s="44"/>
      <c r="C9" s="44"/>
      <c r="D9" s="44"/>
      <c r="E9" s="43"/>
      <c r="F9" s="42" t="str">
        <f aca="false">IF(OR($B9="",$C9=""),"",IF($E9&lt;&gt;"",$E9,IF(AND($D9="участник",INDEX($M$5:$M$15,MATCH($C9,$J$5:$J$15,0))&lt;&gt;""),INDEX($M$5:$M$15,MATCH($C9,$J$5:$J$15,0)),INDEX($L$5:$L$15,MATCH($C9,$J$5:$J$15,0)))))</f>
        <v/>
      </c>
      <c r="G9" s="37" t="str">
        <f aca="false">IF($C9="","",IFERROR(INDEX($K$5:$K$15,MATCH($C9,$J$5:$J$15,0)),""))</f>
        <v/>
      </c>
      <c r="H9" s="47" t="str">
        <f aca="false">IF($B9="","",IF(COUNTIFS($A$5:$A$84,$A9,$B$5:$B$84,$B9,$C$5:$C$84,$C9)&gt;1,"повтор: эта механика уже была у компании в этом цикле!",""))</f>
        <v/>
      </c>
      <c r="J9" s="15" t="s">
        <v>641</v>
      </c>
      <c r="K9" s="10" t="s">
        <v>633</v>
      </c>
      <c r="L9" s="16" t="n">
        <v>500</v>
      </c>
      <c r="M9" s="16"/>
      <c r="N9" s="53" t="s">
        <v>642</v>
      </c>
    </row>
    <row r="10" customFormat="false" ht="15" hidden="false" customHeight="false" outlineLevel="0" collapsed="false">
      <c r="A10" s="44"/>
      <c r="B10" s="44"/>
      <c r="C10" s="44"/>
      <c r="D10" s="44"/>
      <c r="E10" s="43"/>
      <c r="F10" s="42" t="str">
        <f aca="false">IF(OR($B10="",$C10=""),"",IF($E10&lt;&gt;"",$E10,IF(AND($D10="участник",INDEX($M$5:$M$15,MATCH($C10,$J$5:$J$15,0))&lt;&gt;""),INDEX($M$5:$M$15,MATCH($C10,$J$5:$J$15,0)),INDEX($L$5:$L$15,MATCH($C10,$J$5:$J$15,0)))))</f>
        <v/>
      </c>
      <c r="G10" s="37" t="str">
        <f aca="false">IF($C10="","",IFERROR(INDEX($K$5:$K$15,MATCH($C10,$J$5:$J$15,0)),""))</f>
        <v/>
      </c>
      <c r="H10" s="47" t="str">
        <f aca="false">IF($B10="","",IF(COUNTIFS($A$5:$A$84,$A10,$B$5:$B$84,$B10,$C$5:$C$84,$C10)&gt;1,"повтор: эта механика уже была у компании в этом цикле!",""))</f>
        <v/>
      </c>
      <c r="J10" s="15" t="s">
        <v>643</v>
      </c>
      <c r="K10" s="10" t="s">
        <v>36</v>
      </c>
      <c r="L10" s="16" t="n">
        <v>1000</v>
      </c>
      <c r="M10" s="16"/>
      <c r="N10" s="53" t="s">
        <v>644</v>
      </c>
    </row>
    <row r="11" customFormat="false" ht="15" hidden="false" customHeight="false" outlineLevel="0" collapsed="false">
      <c r="A11" s="44"/>
      <c r="B11" s="44"/>
      <c r="C11" s="44"/>
      <c r="D11" s="44"/>
      <c r="E11" s="43"/>
      <c r="F11" s="42" t="str">
        <f aca="false">IF(OR($B11="",$C11=""),"",IF($E11&lt;&gt;"",$E11,IF(AND($D11="участник",INDEX($M$5:$M$15,MATCH($C11,$J$5:$J$15,0))&lt;&gt;""),INDEX($M$5:$M$15,MATCH($C11,$J$5:$J$15,0)),INDEX($L$5:$L$15,MATCH($C11,$J$5:$J$15,0)))))</f>
        <v/>
      </c>
      <c r="G11" s="37" t="str">
        <f aca="false">IF($C11="","",IFERROR(INDEX($K$5:$K$15,MATCH($C11,$J$5:$J$15,0)),""))</f>
        <v/>
      </c>
      <c r="H11" s="47" t="str">
        <f aca="false">IF($B11="","",IF(COUNTIFS($A$5:$A$84,$A11,$B$5:$B$84,$B11,$C$5:$C$84,$C11)&gt;1,"повтор: эта механика уже была у компании в этом цикле!",""))</f>
        <v/>
      </c>
      <c r="J11" s="15" t="s">
        <v>645</v>
      </c>
      <c r="K11" s="10" t="s">
        <v>36</v>
      </c>
      <c r="L11" s="16" t="n">
        <v>0</v>
      </c>
      <c r="M11" s="16"/>
      <c r="N11" s="53" t="s">
        <v>646</v>
      </c>
    </row>
    <row r="12" customFormat="false" ht="15" hidden="false" customHeight="false" outlineLevel="0" collapsed="false">
      <c r="A12" s="44"/>
      <c r="B12" s="44"/>
      <c r="C12" s="44"/>
      <c r="D12" s="44"/>
      <c r="E12" s="43"/>
      <c r="F12" s="42" t="str">
        <f aca="false">IF(OR($B12="",$C12=""),"",IF($E12&lt;&gt;"",$E12,IF(AND($D12="участник",INDEX($M$5:$M$15,MATCH($C12,$J$5:$J$15,0))&lt;&gt;""),INDEX($M$5:$M$15,MATCH($C12,$J$5:$J$15,0)),INDEX($L$5:$L$15,MATCH($C12,$J$5:$J$15,0)))))</f>
        <v/>
      </c>
      <c r="G12" s="37" t="str">
        <f aca="false">IF($C12="","",IFERROR(INDEX($K$5:$K$15,MATCH($C12,$J$5:$J$15,0)),""))</f>
        <v/>
      </c>
      <c r="H12" s="47" t="str">
        <f aca="false">IF($B12="","",IF(COUNTIFS($A$5:$A$84,$A12,$B$5:$B$84,$B12,$C$5:$C$84,$C12)&gt;1,"повтор: эта механика уже была у компании в этом цикле!",""))</f>
        <v/>
      </c>
      <c r="J12" s="15" t="s">
        <v>647</v>
      </c>
      <c r="K12" s="10" t="s">
        <v>385</v>
      </c>
      <c r="L12" s="16" t="n">
        <v>1000</v>
      </c>
      <c r="M12" s="16"/>
      <c r="N12" s="53" t="s">
        <v>648</v>
      </c>
    </row>
    <row r="13" customFormat="false" ht="15" hidden="false" customHeight="false" outlineLevel="0" collapsed="false">
      <c r="A13" s="44"/>
      <c r="B13" s="44"/>
      <c r="C13" s="44"/>
      <c r="D13" s="44"/>
      <c r="E13" s="43"/>
      <c r="F13" s="42" t="str">
        <f aca="false">IF(OR($B13="",$C13=""),"",IF($E13&lt;&gt;"",$E13,IF(AND($D13="участник",INDEX($M$5:$M$15,MATCH($C13,$J$5:$J$15,0))&lt;&gt;""),INDEX($M$5:$M$15,MATCH($C13,$J$5:$J$15,0)),INDEX($L$5:$L$15,MATCH($C13,$J$5:$J$15,0)))))</f>
        <v/>
      </c>
      <c r="G13" s="37" t="str">
        <f aca="false">IF($C13="","",IFERROR(INDEX($K$5:$K$15,MATCH($C13,$J$5:$J$15,0)),""))</f>
        <v/>
      </c>
      <c r="H13" s="47" t="str">
        <f aca="false">IF($B13="","",IF(COUNTIFS($A$5:$A$84,$A13,$B$5:$B$84,$B13,$C$5:$C$84,$C13)&gt;1,"повтор: эта механика уже была у компании в этом цикле!",""))</f>
        <v/>
      </c>
      <c r="J13" s="15" t="s">
        <v>649</v>
      </c>
      <c r="K13" s="10" t="s">
        <v>64</v>
      </c>
      <c r="L13" s="16" t="n">
        <v>1500</v>
      </c>
      <c r="M13" s="16"/>
      <c r="N13" s="53" t="s">
        <v>650</v>
      </c>
    </row>
    <row r="14" customFormat="false" ht="15" hidden="false" customHeight="false" outlineLevel="0" collapsed="false">
      <c r="A14" s="44"/>
      <c r="B14" s="44"/>
      <c r="C14" s="44"/>
      <c r="D14" s="44"/>
      <c r="E14" s="43"/>
      <c r="F14" s="42" t="str">
        <f aca="false">IF(OR($B14="",$C14=""),"",IF($E14&lt;&gt;"",$E14,IF(AND($D14="участник",INDEX($M$5:$M$15,MATCH($C14,$J$5:$J$15,0))&lt;&gt;""),INDEX($M$5:$M$15,MATCH($C14,$J$5:$J$15,0)),INDEX($L$5:$L$15,MATCH($C14,$J$5:$J$15,0)))))</f>
        <v/>
      </c>
      <c r="G14" s="37" t="str">
        <f aca="false">IF($C14="","",IFERROR(INDEX($K$5:$K$15,MATCH($C14,$J$5:$J$15,0)),""))</f>
        <v/>
      </c>
      <c r="H14" s="47" t="str">
        <f aca="false">IF($B14="","",IF(COUNTIFS($A$5:$A$84,$A14,$B$5:$B$84,$B14,$C$5:$C$84,$C14)&gt;1,"повтор: эта механика уже была у компании в этом цикле!",""))</f>
        <v/>
      </c>
      <c r="J14" s="15" t="s">
        <v>651</v>
      </c>
      <c r="K14" s="10" t="s">
        <v>64</v>
      </c>
      <c r="L14" s="16" t="n">
        <v>1000</v>
      </c>
      <c r="M14" s="16"/>
      <c r="N14" s="53" t="s">
        <v>652</v>
      </c>
    </row>
    <row r="15" customFormat="false" ht="15" hidden="false" customHeight="false" outlineLevel="0" collapsed="false">
      <c r="A15" s="44"/>
      <c r="B15" s="44"/>
      <c r="C15" s="44"/>
      <c r="D15" s="44"/>
      <c r="E15" s="43"/>
      <c r="F15" s="42" t="str">
        <f aca="false">IF(OR($B15="",$C15=""),"",IF($E15&lt;&gt;"",$E15,IF(AND($D15="участник",INDEX($M$5:$M$15,MATCH($C15,$J$5:$J$15,0))&lt;&gt;""),INDEX($M$5:$M$15,MATCH($C15,$J$5:$J$15,0)),INDEX($L$5:$L$15,MATCH($C15,$J$5:$J$15,0)))))</f>
        <v/>
      </c>
      <c r="G15" s="37" t="str">
        <f aca="false">IF($C15="","",IFERROR(INDEX($K$5:$K$15,MATCH($C15,$J$5:$J$15,0)),""))</f>
        <v/>
      </c>
      <c r="H15" s="47" t="str">
        <f aca="false">IF($B15="","",IF(COUNTIFS($A$5:$A$84,$A15,$B$5:$B$84,$B15,$C$5:$C$84,$C15)&gt;1,"повтор: эта механика уже была у компании в этом цикле!",""))</f>
        <v/>
      </c>
      <c r="J15" s="15" t="s">
        <v>653</v>
      </c>
      <c r="K15" s="10" t="s">
        <v>4</v>
      </c>
      <c r="L15" s="16" t="n">
        <v>0</v>
      </c>
      <c r="M15" s="16"/>
      <c r="N15" s="53" t="s">
        <v>654</v>
      </c>
    </row>
    <row r="16" customFormat="false" ht="15" hidden="false" customHeight="false" outlineLevel="0" collapsed="false">
      <c r="A16" s="44"/>
      <c r="B16" s="44"/>
      <c r="C16" s="44"/>
      <c r="D16" s="44"/>
      <c r="E16" s="43"/>
      <c r="F16" s="42" t="str">
        <f aca="false">IF(OR($B16="",$C16=""),"",IF($E16&lt;&gt;"",$E16,IF(AND($D16="участник",INDEX($M$5:$M$15,MATCH($C16,$J$5:$J$15,0))&lt;&gt;""),INDEX($M$5:$M$15,MATCH($C16,$J$5:$J$15,0)),INDEX($L$5:$L$15,MATCH($C16,$J$5:$J$15,0)))))</f>
        <v/>
      </c>
      <c r="G16" s="37" t="str">
        <f aca="false">IF($C16="","",IFERROR(INDEX($K$5:$K$15,MATCH($C16,$J$5:$J$15,0)),""))</f>
        <v/>
      </c>
      <c r="H16" s="47" t="str">
        <f aca="false">IF($B16="","",IF(COUNTIFS($A$5:$A$84,$A16,$B$5:$B$84,$B16,$C$5:$C$84,$C16)&gt;1,"повтор: эта механика уже была у компании в этом цикле!",""))</f>
        <v/>
      </c>
    </row>
    <row r="17" customFormat="false" ht="15" hidden="false" customHeight="false" outlineLevel="0" collapsed="false">
      <c r="A17" s="44"/>
      <c r="B17" s="44"/>
      <c r="C17" s="44"/>
      <c r="D17" s="44"/>
      <c r="E17" s="43"/>
      <c r="F17" s="42" t="str">
        <f aca="false">IF(OR($B17="",$C17=""),"",IF($E17&lt;&gt;"",$E17,IF(AND($D17="участник",INDEX($M$5:$M$15,MATCH($C17,$J$5:$J$15,0))&lt;&gt;""),INDEX($M$5:$M$15,MATCH($C17,$J$5:$J$15,0)),INDEX($L$5:$L$15,MATCH($C17,$J$5:$J$15,0)))))</f>
        <v/>
      </c>
      <c r="G17" s="37" t="str">
        <f aca="false">IF($C17="","",IFERROR(INDEX($K$5:$K$15,MATCH($C17,$J$5:$J$15,0)),""))</f>
        <v/>
      </c>
      <c r="H17" s="47" t="str">
        <f aca="false">IF($B17="","",IF(COUNTIFS($A$5:$A$84,$A17,$B$5:$B$84,$B17,$C$5:$C$84,$C17)&gt;1,"повтор: эта механика уже была у компании в этом цикле!",""))</f>
        <v/>
      </c>
    </row>
    <row r="18" customFormat="false" ht="15" hidden="false" customHeight="false" outlineLevel="0" collapsed="false">
      <c r="A18" s="44"/>
      <c r="B18" s="44"/>
      <c r="C18" s="44"/>
      <c r="D18" s="44"/>
      <c r="E18" s="43"/>
      <c r="F18" s="42" t="str">
        <f aca="false">IF(OR($B18="",$C18=""),"",IF($E18&lt;&gt;"",$E18,IF(AND($D18="участник",INDEX($M$5:$M$15,MATCH($C18,$J$5:$J$15,0))&lt;&gt;""),INDEX($M$5:$M$15,MATCH($C18,$J$5:$J$15,0)),INDEX($L$5:$L$15,MATCH($C18,$J$5:$J$15,0)))))</f>
        <v/>
      </c>
      <c r="G18" s="37" t="str">
        <f aca="false">IF($C18="","",IFERROR(INDEX($K$5:$K$15,MATCH($C18,$J$5:$J$15,0)),""))</f>
        <v/>
      </c>
      <c r="H18" s="47" t="str">
        <f aca="false">IF($B18="","",IF(COUNTIFS($A$5:$A$84,$A18,$B$5:$B$84,$B18,$C$5:$C$84,$C18)&gt;1,"повтор: эта механика уже была у компании в этом цикле!",""))</f>
        <v/>
      </c>
    </row>
    <row r="19" customFormat="false" ht="15" hidden="false" customHeight="false" outlineLevel="0" collapsed="false">
      <c r="A19" s="44"/>
      <c r="B19" s="44"/>
      <c r="C19" s="44"/>
      <c r="D19" s="44"/>
      <c r="E19" s="43"/>
      <c r="F19" s="42" t="str">
        <f aca="false">IF(OR($B19="",$C19=""),"",IF($E19&lt;&gt;"",$E19,IF(AND($D19="участник",INDEX($M$5:$M$15,MATCH($C19,$J$5:$J$15,0))&lt;&gt;""),INDEX($M$5:$M$15,MATCH($C19,$J$5:$J$15,0)),INDEX($L$5:$L$15,MATCH($C19,$J$5:$J$15,0)))))</f>
        <v/>
      </c>
      <c r="G19" s="37" t="str">
        <f aca="false">IF($C19="","",IFERROR(INDEX($K$5:$K$15,MATCH($C19,$J$5:$J$15,0)),""))</f>
        <v/>
      </c>
      <c r="H19" s="47" t="str">
        <f aca="false">IF($B19="","",IF(COUNTIFS($A$5:$A$84,$A19,$B$5:$B$84,$B19,$C$5:$C$84,$C19)&gt;1,"повтор: эта механика уже была у компании в этом цикле!",""))</f>
        <v/>
      </c>
    </row>
    <row r="20" customFormat="false" ht="15" hidden="false" customHeight="false" outlineLevel="0" collapsed="false">
      <c r="A20" s="44"/>
      <c r="B20" s="44"/>
      <c r="C20" s="44"/>
      <c r="D20" s="44"/>
      <c r="E20" s="43"/>
      <c r="F20" s="42" t="str">
        <f aca="false">IF(OR($B20="",$C20=""),"",IF($E20&lt;&gt;"",$E20,IF(AND($D20="участник",INDEX($M$5:$M$15,MATCH($C20,$J$5:$J$15,0))&lt;&gt;""),INDEX($M$5:$M$15,MATCH($C20,$J$5:$J$15,0)),INDEX($L$5:$L$15,MATCH($C20,$J$5:$J$15,0)))))</f>
        <v/>
      </c>
      <c r="G20" s="37" t="str">
        <f aca="false">IF($C20="","",IFERROR(INDEX($K$5:$K$15,MATCH($C20,$J$5:$J$15,0)),""))</f>
        <v/>
      </c>
      <c r="H20" s="47" t="str">
        <f aca="false">IF($B20="","",IF(COUNTIFS($A$5:$A$84,$A20,$B$5:$B$84,$B20,$C$5:$C$84,$C20)&gt;1,"повтор: эта механика уже была у компании в этом цикле!",""))</f>
        <v/>
      </c>
    </row>
    <row r="21" customFormat="false" ht="15" hidden="false" customHeight="false" outlineLevel="0" collapsed="false">
      <c r="A21" s="44"/>
      <c r="B21" s="44"/>
      <c r="C21" s="44"/>
      <c r="D21" s="44"/>
      <c r="E21" s="43"/>
      <c r="F21" s="42" t="str">
        <f aca="false">IF(OR($B21="",$C21=""),"",IF($E21&lt;&gt;"",$E21,IF(AND($D21="участник",INDEX($M$5:$M$15,MATCH($C21,$J$5:$J$15,0))&lt;&gt;""),INDEX($M$5:$M$15,MATCH($C21,$J$5:$J$15,0)),INDEX($L$5:$L$15,MATCH($C21,$J$5:$J$15,0)))))</f>
        <v/>
      </c>
      <c r="G21" s="37" t="str">
        <f aca="false">IF($C21="","",IFERROR(INDEX($K$5:$K$15,MATCH($C21,$J$5:$J$15,0)),""))</f>
        <v/>
      </c>
      <c r="H21" s="47" t="str">
        <f aca="false">IF($B21="","",IF(COUNTIFS($A$5:$A$84,$A21,$B$5:$B$84,$B21,$C$5:$C$84,$C21)&gt;1,"повтор: эта механика уже была у компании в этом цикле!",""))</f>
        <v/>
      </c>
    </row>
    <row r="22" customFormat="false" ht="15" hidden="false" customHeight="false" outlineLevel="0" collapsed="false">
      <c r="A22" s="44"/>
      <c r="B22" s="44"/>
      <c r="C22" s="44"/>
      <c r="D22" s="44"/>
      <c r="E22" s="43"/>
      <c r="F22" s="42" t="str">
        <f aca="false">IF(OR($B22="",$C22=""),"",IF($E22&lt;&gt;"",$E22,IF(AND($D22="участник",INDEX($M$5:$M$15,MATCH($C22,$J$5:$J$15,0))&lt;&gt;""),INDEX($M$5:$M$15,MATCH($C22,$J$5:$J$15,0)),INDEX($L$5:$L$15,MATCH($C22,$J$5:$J$15,0)))))</f>
        <v/>
      </c>
      <c r="G22" s="37" t="str">
        <f aca="false">IF($C22="","",IFERROR(INDEX($K$5:$K$15,MATCH($C22,$J$5:$J$15,0)),""))</f>
        <v/>
      </c>
      <c r="H22" s="47" t="str">
        <f aca="false">IF($B22="","",IF(COUNTIFS($A$5:$A$84,$A22,$B$5:$B$84,$B22,$C$5:$C$84,$C22)&gt;1,"повтор: эта механика уже была у компании в этом цикле!",""))</f>
        <v/>
      </c>
    </row>
    <row r="23" customFormat="false" ht="15" hidden="false" customHeight="false" outlineLevel="0" collapsed="false">
      <c r="A23" s="44"/>
      <c r="B23" s="44"/>
      <c r="C23" s="44"/>
      <c r="D23" s="44"/>
      <c r="E23" s="43"/>
      <c r="F23" s="42" t="str">
        <f aca="false">IF(OR($B23="",$C23=""),"",IF($E23&lt;&gt;"",$E23,IF(AND($D23="участник",INDEX($M$5:$M$15,MATCH($C23,$J$5:$J$15,0))&lt;&gt;""),INDEX($M$5:$M$15,MATCH($C23,$J$5:$J$15,0)),INDEX($L$5:$L$15,MATCH($C23,$J$5:$J$15,0)))))</f>
        <v/>
      </c>
      <c r="G23" s="37" t="str">
        <f aca="false">IF($C23="","",IFERROR(INDEX($K$5:$K$15,MATCH($C23,$J$5:$J$15,0)),""))</f>
        <v/>
      </c>
      <c r="H23" s="47" t="str">
        <f aca="false">IF($B23="","",IF(COUNTIFS($A$5:$A$84,$A23,$B$5:$B$84,$B23,$C$5:$C$84,$C23)&gt;1,"повтор: эта механика уже была у компании в этом цикле!",""))</f>
        <v/>
      </c>
    </row>
    <row r="24" customFormat="false" ht="15" hidden="false" customHeight="false" outlineLevel="0" collapsed="false">
      <c r="A24" s="44"/>
      <c r="B24" s="44"/>
      <c r="C24" s="44"/>
      <c r="D24" s="44"/>
      <c r="E24" s="43"/>
      <c r="F24" s="42" t="str">
        <f aca="false">IF(OR($B24="",$C24=""),"",IF($E24&lt;&gt;"",$E24,IF(AND($D24="участник",INDEX($M$5:$M$15,MATCH($C24,$J$5:$J$15,0))&lt;&gt;""),INDEX($M$5:$M$15,MATCH($C24,$J$5:$J$15,0)),INDEX($L$5:$L$15,MATCH($C24,$J$5:$J$15,0)))))</f>
        <v/>
      </c>
      <c r="G24" s="37" t="str">
        <f aca="false">IF($C24="","",IFERROR(INDEX($K$5:$K$15,MATCH($C24,$J$5:$J$15,0)),""))</f>
        <v/>
      </c>
      <c r="H24" s="47" t="str">
        <f aca="false">IF($B24="","",IF(COUNTIFS($A$5:$A$84,$A24,$B$5:$B$84,$B24,$C$5:$C$84,$C24)&gt;1,"повтор: эта механика уже была у компании в этом цикле!",""))</f>
        <v/>
      </c>
    </row>
    <row r="25" customFormat="false" ht="15" hidden="false" customHeight="false" outlineLevel="0" collapsed="false">
      <c r="A25" s="44"/>
      <c r="B25" s="44"/>
      <c r="C25" s="44"/>
      <c r="D25" s="44"/>
      <c r="E25" s="43"/>
      <c r="F25" s="42" t="str">
        <f aca="false">IF(OR($B25="",$C25=""),"",IF($E25&lt;&gt;"",$E25,IF(AND($D25="участник",INDEX($M$5:$M$15,MATCH($C25,$J$5:$J$15,0))&lt;&gt;""),INDEX($M$5:$M$15,MATCH($C25,$J$5:$J$15,0)),INDEX($L$5:$L$15,MATCH($C25,$J$5:$J$15,0)))))</f>
        <v/>
      </c>
      <c r="G25" s="37" t="str">
        <f aca="false">IF($C25="","",IFERROR(INDEX($K$5:$K$15,MATCH($C25,$J$5:$J$15,0)),""))</f>
        <v/>
      </c>
      <c r="H25" s="47" t="str">
        <f aca="false">IF($B25="","",IF(COUNTIFS($A$5:$A$84,$A25,$B$5:$B$84,$B25,$C$5:$C$84,$C25)&gt;1,"повтор: эта механика уже была у компании в этом цикле!",""))</f>
        <v/>
      </c>
    </row>
    <row r="26" customFormat="false" ht="15" hidden="false" customHeight="false" outlineLevel="0" collapsed="false">
      <c r="A26" s="44"/>
      <c r="B26" s="44"/>
      <c r="C26" s="44"/>
      <c r="D26" s="44"/>
      <c r="E26" s="43"/>
      <c r="F26" s="42" t="str">
        <f aca="false">IF(OR($B26="",$C26=""),"",IF($E26&lt;&gt;"",$E26,IF(AND($D26="участник",INDEX($M$5:$M$15,MATCH($C26,$J$5:$J$15,0))&lt;&gt;""),INDEX($M$5:$M$15,MATCH($C26,$J$5:$J$15,0)),INDEX($L$5:$L$15,MATCH($C26,$J$5:$J$15,0)))))</f>
        <v/>
      </c>
      <c r="G26" s="37" t="str">
        <f aca="false">IF($C26="","",IFERROR(INDEX($K$5:$K$15,MATCH($C26,$J$5:$J$15,0)),""))</f>
        <v/>
      </c>
      <c r="H26" s="47" t="str">
        <f aca="false">IF($B26="","",IF(COUNTIFS($A$5:$A$84,$A26,$B$5:$B$84,$B26,$C$5:$C$84,$C26)&gt;1,"повтор: эта механика уже была у компании в этом цикле!",""))</f>
        <v/>
      </c>
    </row>
    <row r="27" customFormat="false" ht="15" hidden="false" customHeight="false" outlineLevel="0" collapsed="false">
      <c r="A27" s="44"/>
      <c r="B27" s="44"/>
      <c r="C27" s="44"/>
      <c r="D27" s="44"/>
      <c r="E27" s="43"/>
      <c r="F27" s="42" t="str">
        <f aca="false">IF(OR($B27="",$C27=""),"",IF($E27&lt;&gt;"",$E27,IF(AND($D27="участник",INDEX($M$5:$M$15,MATCH($C27,$J$5:$J$15,0))&lt;&gt;""),INDEX($M$5:$M$15,MATCH($C27,$J$5:$J$15,0)),INDEX($L$5:$L$15,MATCH($C27,$J$5:$J$15,0)))))</f>
        <v/>
      </c>
      <c r="G27" s="37" t="str">
        <f aca="false">IF($C27="","",IFERROR(INDEX($K$5:$K$15,MATCH($C27,$J$5:$J$15,0)),""))</f>
        <v/>
      </c>
      <c r="H27" s="47" t="str">
        <f aca="false">IF($B27="","",IF(COUNTIFS($A$5:$A$84,$A27,$B$5:$B$84,$B27,$C$5:$C$84,$C27)&gt;1,"повтор: эта механика уже была у компании в этом цикле!",""))</f>
        <v/>
      </c>
    </row>
    <row r="28" customFormat="false" ht="15" hidden="false" customHeight="false" outlineLevel="0" collapsed="false">
      <c r="A28" s="44"/>
      <c r="B28" s="44"/>
      <c r="C28" s="44"/>
      <c r="D28" s="44"/>
      <c r="E28" s="43"/>
      <c r="F28" s="42" t="str">
        <f aca="false">IF(OR($B28="",$C28=""),"",IF($E28&lt;&gt;"",$E28,IF(AND($D28="участник",INDEX($M$5:$M$15,MATCH($C28,$J$5:$J$15,0))&lt;&gt;""),INDEX($M$5:$M$15,MATCH($C28,$J$5:$J$15,0)),INDEX($L$5:$L$15,MATCH($C28,$J$5:$J$15,0)))))</f>
        <v/>
      </c>
      <c r="G28" s="37" t="str">
        <f aca="false">IF($C28="","",IFERROR(INDEX($K$5:$K$15,MATCH($C28,$J$5:$J$15,0)),""))</f>
        <v/>
      </c>
      <c r="H28" s="47" t="str">
        <f aca="false">IF($B28="","",IF(COUNTIFS($A$5:$A$84,$A28,$B$5:$B$84,$B28,$C$5:$C$84,$C28)&gt;1,"повтор: эта механика уже была у компании в этом цикле!",""))</f>
        <v/>
      </c>
    </row>
    <row r="29" customFormat="false" ht="15" hidden="false" customHeight="false" outlineLevel="0" collapsed="false">
      <c r="A29" s="44"/>
      <c r="B29" s="44"/>
      <c r="C29" s="44"/>
      <c r="D29" s="44"/>
      <c r="E29" s="43"/>
      <c r="F29" s="42" t="str">
        <f aca="false">IF(OR($B29="",$C29=""),"",IF($E29&lt;&gt;"",$E29,IF(AND($D29="участник",INDEX($M$5:$M$15,MATCH($C29,$J$5:$J$15,0))&lt;&gt;""),INDEX($M$5:$M$15,MATCH($C29,$J$5:$J$15,0)),INDEX($L$5:$L$15,MATCH($C29,$J$5:$J$15,0)))))</f>
        <v/>
      </c>
      <c r="G29" s="37" t="str">
        <f aca="false">IF($C29="","",IFERROR(INDEX($K$5:$K$15,MATCH($C29,$J$5:$J$15,0)),""))</f>
        <v/>
      </c>
      <c r="H29" s="47" t="str">
        <f aca="false">IF($B29="","",IF(COUNTIFS($A$5:$A$84,$A29,$B$5:$B$84,$B29,$C$5:$C$84,$C29)&gt;1,"повтор: эта механика уже была у компании в этом цикле!",""))</f>
        <v/>
      </c>
    </row>
    <row r="30" customFormat="false" ht="15" hidden="false" customHeight="false" outlineLevel="0" collapsed="false">
      <c r="A30" s="44"/>
      <c r="B30" s="44"/>
      <c r="C30" s="44"/>
      <c r="D30" s="44"/>
      <c r="E30" s="43"/>
      <c r="F30" s="42" t="str">
        <f aca="false">IF(OR($B30="",$C30=""),"",IF($E30&lt;&gt;"",$E30,IF(AND($D30="участник",INDEX($M$5:$M$15,MATCH($C30,$J$5:$J$15,0))&lt;&gt;""),INDEX($M$5:$M$15,MATCH($C30,$J$5:$J$15,0)),INDEX($L$5:$L$15,MATCH($C30,$J$5:$J$15,0)))))</f>
        <v/>
      </c>
      <c r="G30" s="37" t="str">
        <f aca="false">IF($C30="","",IFERROR(INDEX($K$5:$K$15,MATCH($C30,$J$5:$J$15,0)),""))</f>
        <v/>
      </c>
      <c r="H30" s="47" t="str">
        <f aca="false">IF($B30="","",IF(COUNTIFS($A$5:$A$84,$A30,$B$5:$B$84,$B30,$C$5:$C$84,$C30)&gt;1,"повтор: эта механика уже была у компании в этом цикле!",""))</f>
        <v/>
      </c>
    </row>
    <row r="31" customFormat="false" ht="15" hidden="false" customHeight="false" outlineLevel="0" collapsed="false">
      <c r="A31" s="44"/>
      <c r="B31" s="44"/>
      <c r="C31" s="44"/>
      <c r="D31" s="44"/>
      <c r="E31" s="43"/>
      <c r="F31" s="42" t="str">
        <f aca="false">IF(OR($B31="",$C31=""),"",IF($E31&lt;&gt;"",$E31,IF(AND($D31="участник",INDEX($M$5:$M$15,MATCH($C31,$J$5:$J$15,0))&lt;&gt;""),INDEX($M$5:$M$15,MATCH($C31,$J$5:$J$15,0)),INDEX($L$5:$L$15,MATCH($C31,$J$5:$J$15,0)))))</f>
        <v/>
      </c>
      <c r="G31" s="37" t="str">
        <f aca="false">IF($C31="","",IFERROR(INDEX($K$5:$K$15,MATCH($C31,$J$5:$J$15,0)),""))</f>
        <v/>
      </c>
      <c r="H31" s="47" t="str">
        <f aca="false">IF($B31="","",IF(COUNTIFS($A$5:$A$84,$A31,$B$5:$B$84,$B31,$C$5:$C$84,$C31)&gt;1,"повтор: эта механика уже была у компании в этом цикле!",""))</f>
        <v/>
      </c>
    </row>
    <row r="32" customFormat="false" ht="15" hidden="false" customHeight="false" outlineLevel="0" collapsed="false">
      <c r="A32" s="44"/>
      <c r="B32" s="44"/>
      <c r="C32" s="44"/>
      <c r="D32" s="44"/>
      <c r="E32" s="43"/>
      <c r="F32" s="42" t="str">
        <f aca="false">IF(OR($B32="",$C32=""),"",IF($E32&lt;&gt;"",$E32,IF(AND($D32="участник",INDEX($M$5:$M$15,MATCH($C32,$J$5:$J$15,0))&lt;&gt;""),INDEX($M$5:$M$15,MATCH($C32,$J$5:$J$15,0)),INDEX($L$5:$L$15,MATCH($C32,$J$5:$J$15,0)))))</f>
        <v/>
      </c>
      <c r="G32" s="37" t="str">
        <f aca="false">IF($C32="","",IFERROR(INDEX($K$5:$K$15,MATCH($C32,$J$5:$J$15,0)),""))</f>
        <v/>
      </c>
      <c r="H32" s="47" t="str">
        <f aca="false">IF($B32="","",IF(COUNTIFS($A$5:$A$84,$A32,$B$5:$B$84,$B32,$C$5:$C$84,$C32)&gt;1,"повтор: эта механика уже была у компании в этом цикле!",""))</f>
        <v/>
      </c>
    </row>
    <row r="33" customFormat="false" ht="15" hidden="false" customHeight="false" outlineLevel="0" collapsed="false">
      <c r="A33" s="44"/>
      <c r="B33" s="44"/>
      <c r="C33" s="44"/>
      <c r="D33" s="44"/>
      <c r="E33" s="43"/>
      <c r="F33" s="42" t="str">
        <f aca="false">IF(OR($B33="",$C33=""),"",IF($E33&lt;&gt;"",$E33,IF(AND($D33="участник",INDEX($M$5:$M$15,MATCH($C33,$J$5:$J$15,0))&lt;&gt;""),INDEX($M$5:$M$15,MATCH($C33,$J$5:$J$15,0)),INDEX($L$5:$L$15,MATCH($C33,$J$5:$J$15,0)))))</f>
        <v/>
      </c>
      <c r="G33" s="37" t="str">
        <f aca="false">IF($C33="","",IFERROR(INDEX($K$5:$K$15,MATCH($C33,$J$5:$J$15,0)),""))</f>
        <v/>
      </c>
      <c r="H33" s="47" t="str">
        <f aca="false">IF($B33="","",IF(COUNTIFS($A$5:$A$84,$A33,$B$5:$B$84,$B33,$C$5:$C$84,$C33)&gt;1,"повтор: эта механика уже была у компании в этом цикле!",""))</f>
        <v/>
      </c>
    </row>
    <row r="34" customFormat="false" ht="15" hidden="false" customHeight="false" outlineLevel="0" collapsed="false">
      <c r="A34" s="44"/>
      <c r="B34" s="44"/>
      <c r="C34" s="44"/>
      <c r="D34" s="44"/>
      <c r="E34" s="43"/>
      <c r="F34" s="42" t="str">
        <f aca="false">IF(OR($B34="",$C34=""),"",IF($E34&lt;&gt;"",$E34,IF(AND($D34="участник",INDEX($M$5:$M$15,MATCH($C34,$J$5:$J$15,0))&lt;&gt;""),INDEX($M$5:$M$15,MATCH($C34,$J$5:$J$15,0)),INDEX($L$5:$L$15,MATCH($C34,$J$5:$J$15,0)))))</f>
        <v/>
      </c>
      <c r="G34" s="37" t="str">
        <f aca="false">IF($C34="","",IFERROR(INDEX($K$5:$K$15,MATCH($C34,$J$5:$J$15,0)),""))</f>
        <v/>
      </c>
      <c r="H34" s="47" t="str">
        <f aca="false">IF($B34="","",IF(COUNTIFS($A$5:$A$84,$A34,$B$5:$B$84,$B34,$C$5:$C$84,$C34)&gt;1,"повтор: эта механика уже была у компании в этом цикле!",""))</f>
        <v/>
      </c>
    </row>
    <row r="35" customFormat="false" ht="15" hidden="false" customHeight="false" outlineLevel="0" collapsed="false">
      <c r="A35" s="44"/>
      <c r="B35" s="44"/>
      <c r="C35" s="44"/>
      <c r="D35" s="44"/>
      <c r="E35" s="43"/>
      <c r="F35" s="42" t="str">
        <f aca="false">IF(OR($B35="",$C35=""),"",IF($E35&lt;&gt;"",$E35,IF(AND($D35="участник",INDEX($M$5:$M$15,MATCH($C35,$J$5:$J$15,0))&lt;&gt;""),INDEX($M$5:$M$15,MATCH($C35,$J$5:$J$15,0)),INDEX($L$5:$L$15,MATCH($C35,$J$5:$J$15,0)))))</f>
        <v/>
      </c>
      <c r="G35" s="37" t="str">
        <f aca="false">IF($C35="","",IFERROR(INDEX($K$5:$K$15,MATCH($C35,$J$5:$J$15,0)),""))</f>
        <v/>
      </c>
      <c r="H35" s="47" t="str">
        <f aca="false">IF($B35="","",IF(COUNTIFS($A$5:$A$84,$A35,$B$5:$B$84,$B35,$C$5:$C$84,$C35)&gt;1,"повтор: эта механика уже была у компании в этом цикле!",""))</f>
        <v/>
      </c>
    </row>
    <row r="36" customFormat="false" ht="15" hidden="false" customHeight="false" outlineLevel="0" collapsed="false">
      <c r="A36" s="44"/>
      <c r="B36" s="44"/>
      <c r="C36" s="44"/>
      <c r="D36" s="44"/>
      <c r="E36" s="43"/>
      <c r="F36" s="42" t="str">
        <f aca="false">IF(OR($B36="",$C36=""),"",IF($E36&lt;&gt;"",$E36,IF(AND($D36="участник",INDEX($M$5:$M$15,MATCH($C36,$J$5:$J$15,0))&lt;&gt;""),INDEX($M$5:$M$15,MATCH($C36,$J$5:$J$15,0)),INDEX($L$5:$L$15,MATCH($C36,$J$5:$J$15,0)))))</f>
        <v/>
      </c>
      <c r="G36" s="37" t="str">
        <f aca="false">IF($C36="","",IFERROR(INDEX($K$5:$K$15,MATCH($C36,$J$5:$J$15,0)),""))</f>
        <v/>
      </c>
      <c r="H36" s="47" t="str">
        <f aca="false">IF($B36="","",IF(COUNTIFS($A$5:$A$84,$A36,$B$5:$B$84,$B36,$C$5:$C$84,$C36)&gt;1,"повтор: эта механика уже была у компании в этом цикле!",""))</f>
        <v/>
      </c>
    </row>
    <row r="37" customFormat="false" ht="15" hidden="false" customHeight="false" outlineLevel="0" collapsed="false">
      <c r="A37" s="44"/>
      <c r="B37" s="44"/>
      <c r="C37" s="44"/>
      <c r="D37" s="44"/>
      <c r="E37" s="43"/>
      <c r="F37" s="42" t="str">
        <f aca="false">IF(OR($B37="",$C37=""),"",IF($E37&lt;&gt;"",$E37,IF(AND($D37="участник",INDEX($M$5:$M$15,MATCH($C37,$J$5:$J$15,0))&lt;&gt;""),INDEX($M$5:$M$15,MATCH($C37,$J$5:$J$15,0)),INDEX($L$5:$L$15,MATCH($C37,$J$5:$J$15,0)))))</f>
        <v/>
      </c>
      <c r="G37" s="37" t="str">
        <f aca="false">IF($C37="","",IFERROR(INDEX($K$5:$K$15,MATCH($C37,$J$5:$J$15,0)),""))</f>
        <v/>
      </c>
      <c r="H37" s="47" t="str">
        <f aca="false">IF($B37="","",IF(COUNTIFS($A$5:$A$84,$A37,$B$5:$B$84,$B37,$C$5:$C$84,$C37)&gt;1,"повтор: эта механика уже была у компании в этом цикле!",""))</f>
        <v/>
      </c>
    </row>
    <row r="38" customFormat="false" ht="15" hidden="false" customHeight="false" outlineLevel="0" collapsed="false">
      <c r="A38" s="44"/>
      <c r="B38" s="44"/>
      <c r="C38" s="44"/>
      <c r="D38" s="44"/>
      <c r="E38" s="43"/>
      <c r="F38" s="42" t="str">
        <f aca="false">IF(OR($B38="",$C38=""),"",IF($E38&lt;&gt;"",$E38,IF(AND($D38="участник",INDEX($M$5:$M$15,MATCH($C38,$J$5:$J$15,0))&lt;&gt;""),INDEX($M$5:$M$15,MATCH($C38,$J$5:$J$15,0)),INDEX($L$5:$L$15,MATCH($C38,$J$5:$J$15,0)))))</f>
        <v/>
      </c>
      <c r="G38" s="37" t="str">
        <f aca="false">IF($C38="","",IFERROR(INDEX($K$5:$K$15,MATCH($C38,$J$5:$J$15,0)),""))</f>
        <v/>
      </c>
      <c r="H38" s="47" t="str">
        <f aca="false">IF($B38="","",IF(COUNTIFS($A$5:$A$84,$A38,$B$5:$B$84,$B38,$C$5:$C$84,$C38)&gt;1,"повтор: эта механика уже была у компании в этом цикле!",""))</f>
        <v/>
      </c>
    </row>
    <row r="39" customFormat="false" ht="15" hidden="false" customHeight="false" outlineLevel="0" collapsed="false">
      <c r="A39" s="44"/>
      <c r="B39" s="44"/>
      <c r="C39" s="44"/>
      <c r="D39" s="44"/>
      <c r="E39" s="43"/>
      <c r="F39" s="42" t="str">
        <f aca="false">IF(OR($B39="",$C39=""),"",IF($E39&lt;&gt;"",$E39,IF(AND($D39="участник",INDEX($M$5:$M$15,MATCH($C39,$J$5:$J$15,0))&lt;&gt;""),INDEX($M$5:$M$15,MATCH($C39,$J$5:$J$15,0)),INDEX($L$5:$L$15,MATCH($C39,$J$5:$J$15,0)))))</f>
        <v/>
      </c>
      <c r="G39" s="37" t="str">
        <f aca="false">IF($C39="","",IFERROR(INDEX($K$5:$K$15,MATCH($C39,$J$5:$J$15,0)),""))</f>
        <v/>
      </c>
      <c r="H39" s="47" t="str">
        <f aca="false">IF($B39="","",IF(COUNTIFS($A$5:$A$84,$A39,$B$5:$B$84,$B39,$C$5:$C$84,$C39)&gt;1,"повтор: эта механика уже была у компании в этом цикле!",""))</f>
        <v/>
      </c>
    </row>
    <row r="40" customFormat="false" ht="15" hidden="false" customHeight="false" outlineLevel="0" collapsed="false">
      <c r="A40" s="44"/>
      <c r="B40" s="44"/>
      <c r="C40" s="44"/>
      <c r="D40" s="44"/>
      <c r="E40" s="43"/>
      <c r="F40" s="42" t="str">
        <f aca="false">IF(OR($B40="",$C40=""),"",IF($E40&lt;&gt;"",$E40,IF(AND($D40="участник",INDEX($M$5:$M$15,MATCH($C40,$J$5:$J$15,0))&lt;&gt;""),INDEX($M$5:$M$15,MATCH($C40,$J$5:$J$15,0)),INDEX($L$5:$L$15,MATCH($C40,$J$5:$J$15,0)))))</f>
        <v/>
      </c>
      <c r="G40" s="37" t="str">
        <f aca="false">IF($C40="","",IFERROR(INDEX($K$5:$K$15,MATCH($C40,$J$5:$J$15,0)),""))</f>
        <v/>
      </c>
      <c r="H40" s="47" t="str">
        <f aca="false">IF($B40="","",IF(COUNTIFS($A$5:$A$84,$A40,$B$5:$B$84,$B40,$C$5:$C$84,$C40)&gt;1,"повтор: эта механика уже была у компании в этом цикле!",""))</f>
        <v/>
      </c>
    </row>
    <row r="41" customFormat="false" ht="15" hidden="false" customHeight="false" outlineLevel="0" collapsed="false">
      <c r="A41" s="44"/>
      <c r="B41" s="44"/>
      <c r="C41" s="44"/>
      <c r="D41" s="44"/>
      <c r="E41" s="43"/>
      <c r="F41" s="42" t="str">
        <f aca="false">IF(OR($B41="",$C41=""),"",IF($E41&lt;&gt;"",$E41,IF(AND($D41="участник",INDEX($M$5:$M$15,MATCH($C41,$J$5:$J$15,0))&lt;&gt;""),INDEX($M$5:$M$15,MATCH($C41,$J$5:$J$15,0)),INDEX($L$5:$L$15,MATCH($C41,$J$5:$J$15,0)))))</f>
        <v/>
      </c>
      <c r="G41" s="37" t="str">
        <f aca="false">IF($C41="","",IFERROR(INDEX($K$5:$K$15,MATCH($C41,$J$5:$J$15,0)),""))</f>
        <v/>
      </c>
      <c r="H41" s="47" t="str">
        <f aca="false">IF($B41="","",IF(COUNTIFS($A$5:$A$84,$A41,$B$5:$B$84,$B41,$C$5:$C$84,$C41)&gt;1,"повтор: эта механика уже была у компании в этом цикле!",""))</f>
        <v/>
      </c>
    </row>
    <row r="42" customFormat="false" ht="15" hidden="false" customHeight="false" outlineLevel="0" collapsed="false">
      <c r="A42" s="44"/>
      <c r="B42" s="44"/>
      <c r="C42" s="44"/>
      <c r="D42" s="44"/>
      <c r="E42" s="43"/>
      <c r="F42" s="42" t="str">
        <f aca="false">IF(OR($B42="",$C42=""),"",IF($E42&lt;&gt;"",$E42,IF(AND($D42="участник",INDEX($M$5:$M$15,MATCH($C42,$J$5:$J$15,0))&lt;&gt;""),INDEX($M$5:$M$15,MATCH($C42,$J$5:$J$15,0)),INDEX($L$5:$L$15,MATCH($C42,$J$5:$J$15,0)))))</f>
        <v/>
      </c>
      <c r="G42" s="37" t="str">
        <f aca="false">IF($C42="","",IFERROR(INDEX($K$5:$K$15,MATCH($C42,$J$5:$J$15,0)),""))</f>
        <v/>
      </c>
      <c r="H42" s="47" t="str">
        <f aca="false">IF($B42="","",IF(COUNTIFS($A$5:$A$84,$A42,$B$5:$B$84,$B42,$C$5:$C$84,$C42)&gt;1,"повтор: эта механика уже была у компании в этом цикле!",""))</f>
        <v/>
      </c>
    </row>
    <row r="43" customFormat="false" ht="15" hidden="false" customHeight="false" outlineLevel="0" collapsed="false">
      <c r="A43" s="44"/>
      <c r="B43" s="44"/>
      <c r="C43" s="44"/>
      <c r="D43" s="44"/>
      <c r="E43" s="43"/>
      <c r="F43" s="42" t="str">
        <f aca="false">IF(OR($B43="",$C43=""),"",IF($E43&lt;&gt;"",$E43,IF(AND($D43="участник",INDEX($M$5:$M$15,MATCH($C43,$J$5:$J$15,0))&lt;&gt;""),INDEX($M$5:$M$15,MATCH($C43,$J$5:$J$15,0)),INDEX($L$5:$L$15,MATCH($C43,$J$5:$J$15,0)))))</f>
        <v/>
      </c>
      <c r="G43" s="37" t="str">
        <f aca="false">IF($C43="","",IFERROR(INDEX($K$5:$K$15,MATCH($C43,$J$5:$J$15,0)),""))</f>
        <v/>
      </c>
      <c r="H43" s="47" t="str">
        <f aca="false">IF($B43="","",IF(COUNTIFS($A$5:$A$84,$A43,$B$5:$B$84,$B43,$C$5:$C$84,$C43)&gt;1,"повтор: эта механика уже была у компании в этом цикле!",""))</f>
        <v/>
      </c>
    </row>
    <row r="44" customFormat="false" ht="15" hidden="false" customHeight="false" outlineLevel="0" collapsed="false">
      <c r="A44" s="44"/>
      <c r="B44" s="44"/>
      <c r="C44" s="44"/>
      <c r="D44" s="44"/>
      <c r="E44" s="43"/>
      <c r="F44" s="42" t="str">
        <f aca="false">IF(OR($B44="",$C44=""),"",IF($E44&lt;&gt;"",$E44,IF(AND($D44="участник",INDEX($M$5:$M$15,MATCH($C44,$J$5:$J$15,0))&lt;&gt;""),INDEX($M$5:$M$15,MATCH($C44,$J$5:$J$15,0)),INDEX($L$5:$L$15,MATCH($C44,$J$5:$J$15,0)))))</f>
        <v/>
      </c>
      <c r="G44" s="37" t="str">
        <f aca="false">IF($C44="","",IFERROR(INDEX($K$5:$K$15,MATCH($C44,$J$5:$J$15,0)),""))</f>
        <v/>
      </c>
      <c r="H44" s="47" t="str">
        <f aca="false">IF($B44="","",IF(COUNTIFS($A$5:$A$84,$A44,$B$5:$B$84,$B44,$C$5:$C$84,$C44)&gt;1,"повтор: эта механика уже была у компании в этом цикле!",""))</f>
        <v/>
      </c>
    </row>
    <row r="45" customFormat="false" ht="15" hidden="false" customHeight="false" outlineLevel="0" collapsed="false">
      <c r="A45" s="44"/>
      <c r="B45" s="44"/>
      <c r="C45" s="44"/>
      <c r="D45" s="44"/>
      <c r="E45" s="43"/>
      <c r="F45" s="42" t="str">
        <f aca="false">IF(OR($B45="",$C45=""),"",IF($E45&lt;&gt;"",$E45,IF(AND($D45="участник",INDEX($M$5:$M$15,MATCH($C45,$J$5:$J$15,0))&lt;&gt;""),INDEX($M$5:$M$15,MATCH($C45,$J$5:$J$15,0)),INDEX($L$5:$L$15,MATCH($C45,$J$5:$J$15,0)))))</f>
        <v/>
      </c>
      <c r="G45" s="37" t="str">
        <f aca="false">IF($C45="","",IFERROR(INDEX($K$5:$K$15,MATCH($C45,$J$5:$J$15,0)),""))</f>
        <v/>
      </c>
      <c r="H45" s="47" t="str">
        <f aca="false">IF($B45="","",IF(COUNTIFS($A$5:$A$84,$A45,$B$5:$B$84,$B45,$C$5:$C$84,$C45)&gt;1,"повтор: эта механика уже была у компании в этом цикле!",""))</f>
        <v/>
      </c>
    </row>
    <row r="46" customFormat="false" ht="15" hidden="false" customHeight="false" outlineLevel="0" collapsed="false">
      <c r="A46" s="44"/>
      <c r="B46" s="44"/>
      <c r="C46" s="44"/>
      <c r="D46" s="44"/>
      <c r="E46" s="43"/>
      <c r="F46" s="42" t="str">
        <f aca="false">IF(OR($B46="",$C46=""),"",IF($E46&lt;&gt;"",$E46,IF(AND($D46="участник",INDEX($M$5:$M$15,MATCH($C46,$J$5:$J$15,0))&lt;&gt;""),INDEX($M$5:$M$15,MATCH($C46,$J$5:$J$15,0)),INDEX($L$5:$L$15,MATCH($C46,$J$5:$J$15,0)))))</f>
        <v/>
      </c>
      <c r="G46" s="37" t="str">
        <f aca="false">IF($C46="","",IFERROR(INDEX($K$5:$K$15,MATCH($C46,$J$5:$J$15,0)),""))</f>
        <v/>
      </c>
      <c r="H46" s="47" t="str">
        <f aca="false">IF($B46="","",IF(COUNTIFS($A$5:$A$84,$A46,$B$5:$B$84,$B46,$C$5:$C$84,$C46)&gt;1,"повтор: эта механика уже была у компании в этом цикле!",""))</f>
        <v/>
      </c>
    </row>
    <row r="47" customFormat="false" ht="15" hidden="false" customHeight="false" outlineLevel="0" collapsed="false">
      <c r="A47" s="44"/>
      <c r="B47" s="44"/>
      <c r="C47" s="44"/>
      <c r="D47" s="44"/>
      <c r="E47" s="43"/>
      <c r="F47" s="42" t="str">
        <f aca="false">IF(OR($B47="",$C47=""),"",IF($E47&lt;&gt;"",$E47,IF(AND($D47="участник",INDEX($M$5:$M$15,MATCH($C47,$J$5:$J$15,0))&lt;&gt;""),INDEX($M$5:$M$15,MATCH($C47,$J$5:$J$15,0)),INDEX($L$5:$L$15,MATCH($C47,$J$5:$J$15,0)))))</f>
        <v/>
      </c>
      <c r="G47" s="37" t="str">
        <f aca="false">IF($C47="","",IFERROR(INDEX($K$5:$K$15,MATCH($C47,$J$5:$J$15,0)),""))</f>
        <v/>
      </c>
      <c r="H47" s="47" t="str">
        <f aca="false">IF($B47="","",IF(COUNTIFS($A$5:$A$84,$A47,$B$5:$B$84,$B47,$C$5:$C$84,$C47)&gt;1,"повтор: эта механика уже была у компании в этом цикле!",""))</f>
        <v/>
      </c>
    </row>
    <row r="48" customFormat="false" ht="15" hidden="false" customHeight="false" outlineLevel="0" collapsed="false">
      <c r="A48" s="44"/>
      <c r="B48" s="44"/>
      <c r="C48" s="44"/>
      <c r="D48" s="44"/>
      <c r="E48" s="43"/>
      <c r="F48" s="42" t="str">
        <f aca="false">IF(OR($B48="",$C48=""),"",IF($E48&lt;&gt;"",$E48,IF(AND($D48="участник",INDEX($M$5:$M$15,MATCH($C48,$J$5:$J$15,0))&lt;&gt;""),INDEX($M$5:$M$15,MATCH($C48,$J$5:$J$15,0)),INDEX($L$5:$L$15,MATCH($C48,$J$5:$J$15,0)))))</f>
        <v/>
      </c>
      <c r="G48" s="37" t="str">
        <f aca="false">IF($C48="","",IFERROR(INDEX($K$5:$K$15,MATCH($C48,$J$5:$J$15,0)),""))</f>
        <v/>
      </c>
      <c r="H48" s="47" t="str">
        <f aca="false">IF($B48="","",IF(COUNTIFS($A$5:$A$84,$A48,$B$5:$B$84,$B48,$C$5:$C$84,$C48)&gt;1,"повтор: эта механика уже была у компании в этом цикле!",""))</f>
        <v/>
      </c>
    </row>
    <row r="49" customFormat="false" ht="15" hidden="false" customHeight="false" outlineLevel="0" collapsed="false">
      <c r="A49" s="44"/>
      <c r="B49" s="44"/>
      <c r="C49" s="44"/>
      <c r="D49" s="44"/>
      <c r="E49" s="43"/>
      <c r="F49" s="42" t="str">
        <f aca="false">IF(OR($B49="",$C49=""),"",IF($E49&lt;&gt;"",$E49,IF(AND($D49="участник",INDEX($M$5:$M$15,MATCH($C49,$J$5:$J$15,0))&lt;&gt;""),INDEX($M$5:$M$15,MATCH($C49,$J$5:$J$15,0)),INDEX($L$5:$L$15,MATCH($C49,$J$5:$J$15,0)))))</f>
        <v/>
      </c>
      <c r="G49" s="37" t="str">
        <f aca="false">IF($C49="","",IFERROR(INDEX($K$5:$K$15,MATCH($C49,$J$5:$J$15,0)),""))</f>
        <v/>
      </c>
      <c r="H49" s="47" t="str">
        <f aca="false">IF($B49="","",IF(COUNTIFS($A$5:$A$84,$A49,$B$5:$B$84,$B49,$C$5:$C$84,$C49)&gt;1,"повтор: эта механика уже была у компании в этом цикле!",""))</f>
        <v/>
      </c>
    </row>
    <row r="50" customFormat="false" ht="15" hidden="false" customHeight="false" outlineLevel="0" collapsed="false">
      <c r="A50" s="44"/>
      <c r="B50" s="44"/>
      <c r="C50" s="44"/>
      <c r="D50" s="44"/>
      <c r="E50" s="43"/>
      <c r="F50" s="42" t="str">
        <f aca="false">IF(OR($B50="",$C50=""),"",IF($E50&lt;&gt;"",$E50,IF(AND($D50="участник",INDEX($M$5:$M$15,MATCH($C50,$J$5:$J$15,0))&lt;&gt;""),INDEX($M$5:$M$15,MATCH($C50,$J$5:$J$15,0)),INDEX($L$5:$L$15,MATCH($C50,$J$5:$J$15,0)))))</f>
        <v/>
      </c>
      <c r="G50" s="37" t="str">
        <f aca="false">IF($C50="","",IFERROR(INDEX($K$5:$K$15,MATCH($C50,$J$5:$J$15,0)),""))</f>
        <v/>
      </c>
      <c r="H50" s="47" t="str">
        <f aca="false">IF($B50="","",IF(COUNTIFS($A$5:$A$84,$A50,$B$5:$B$84,$B50,$C$5:$C$84,$C50)&gt;1,"повтор: эта механика уже была у компании в этом цикле!",""))</f>
        <v/>
      </c>
    </row>
    <row r="51" customFormat="false" ht="15" hidden="false" customHeight="false" outlineLevel="0" collapsed="false">
      <c r="A51" s="44"/>
      <c r="B51" s="44"/>
      <c r="C51" s="44"/>
      <c r="D51" s="44"/>
      <c r="E51" s="43"/>
      <c r="F51" s="42" t="str">
        <f aca="false">IF(OR($B51="",$C51=""),"",IF($E51&lt;&gt;"",$E51,IF(AND($D51="участник",INDEX($M$5:$M$15,MATCH($C51,$J$5:$J$15,0))&lt;&gt;""),INDEX($M$5:$M$15,MATCH($C51,$J$5:$J$15,0)),INDEX($L$5:$L$15,MATCH($C51,$J$5:$J$15,0)))))</f>
        <v/>
      </c>
      <c r="G51" s="37" t="str">
        <f aca="false">IF($C51="","",IFERROR(INDEX($K$5:$K$15,MATCH($C51,$J$5:$J$15,0)),""))</f>
        <v/>
      </c>
      <c r="H51" s="47" t="str">
        <f aca="false">IF($B51="","",IF(COUNTIFS($A$5:$A$84,$A51,$B$5:$B$84,$B51,$C$5:$C$84,$C51)&gt;1,"повтор: эта механика уже была у компании в этом цикле!",""))</f>
        <v/>
      </c>
    </row>
    <row r="52" customFormat="false" ht="15" hidden="false" customHeight="false" outlineLevel="0" collapsed="false">
      <c r="A52" s="44"/>
      <c r="B52" s="44"/>
      <c r="C52" s="44"/>
      <c r="D52" s="44"/>
      <c r="E52" s="43"/>
      <c r="F52" s="42" t="str">
        <f aca="false">IF(OR($B52="",$C52=""),"",IF($E52&lt;&gt;"",$E52,IF(AND($D52="участник",INDEX($M$5:$M$15,MATCH($C52,$J$5:$J$15,0))&lt;&gt;""),INDEX($M$5:$M$15,MATCH($C52,$J$5:$J$15,0)),INDEX($L$5:$L$15,MATCH($C52,$J$5:$J$15,0)))))</f>
        <v/>
      </c>
      <c r="G52" s="37" t="str">
        <f aca="false">IF($C52="","",IFERROR(INDEX($K$5:$K$15,MATCH($C52,$J$5:$J$15,0)),""))</f>
        <v/>
      </c>
      <c r="H52" s="47" t="str">
        <f aca="false">IF($B52="","",IF(COUNTIFS($A$5:$A$84,$A52,$B$5:$B$84,$B52,$C$5:$C$84,$C52)&gt;1,"повтор: эта механика уже была у компании в этом цикле!",""))</f>
        <v/>
      </c>
    </row>
    <row r="53" customFormat="false" ht="15" hidden="false" customHeight="false" outlineLevel="0" collapsed="false">
      <c r="A53" s="44"/>
      <c r="B53" s="44"/>
      <c r="C53" s="44"/>
      <c r="D53" s="44"/>
      <c r="E53" s="43"/>
      <c r="F53" s="42" t="str">
        <f aca="false">IF(OR($B53="",$C53=""),"",IF($E53&lt;&gt;"",$E53,IF(AND($D53="участник",INDEX($M$5:$M$15,MATCH($C53,$J$5:$J$15,0))&lt;&gt;""),INDEX($M$5:$M$15,MATCH($C53,$J$5:$J$15,0)),INDEX($L$5:$L$15,MATCH($C53,$J$5:$J$15,0)))))</f>
        <v/>
      </c>
      <c r="G53" s="37" t="str">
        <f aca="false">IF($C53="","",IFERROR(INDEX($K$5:$K$15,MATCH($C53,$J$5:$J$15,0)),""))</f>
        <v/>
      </c>
      <c r="H53" s="47" t="str">
        <f aca="false">IF($B53="","",IF(COUNTIFS($A$5:$A$84,$A53,$B$5:$B$84,$B53,$C$5:$C$84,$C53)&gt;1,"повтор: эта механика уже была у компании в этом цикле!",""))</f>
        <v/>
      </c>
    </row>
    <row r="54" customFormat="false" ht="15" hidden="false" customHeight="false" outlineLevel="0" collapsed="false">
      <c r="A54" s="44"/>
      <c r="B54" s="44"/>
      <c r="C54" s="44"/>
      <c r="D54" s="44"/>
      <c r="E54" s="43"/>
      <c r="F54" s="42" t="str">
        <f aca="false">IF(OR($B54="",$C54=""),"",IF($E54&lt;&gt;"",$E54,IF(AND($D54="участник",INDEX($M$5:$M$15,MATCH($C54,$J$5:$J$15,0))&lt;&gt;""),INDEX($M$5:$M$15,MATCH($C54,$J$5:$J$15,0)),INDEX($L$5:$L$15,MATCH($C54,$J$5:$J$15,0)))))</f>
        <v/>
      </c>
      <c r="G54" s="37" t="str">
        <f aca="false">IF($C54="","",IFERROR(INDEX($K$5:$K$15,MATCH($C54,$J$5:$J$15,0)),""))</f>
        <v/>
      </c>
      <c r="H54" s="47" t="str">
        <f aca="false">IF($B54="","",IF(COUNTIFS($A$5:$A$84,$A54,$B$5:$B$84,$B54,$C$5:$C$84,$C54)&gt;1,"повтор: эта механика уже была у компании в этом цикле!",""))</f>
        <v/>
      </c>
    </row>
    <row r="55" customFormat="false" ht="15" hidden="false" customHeight="false" outlineLevel="0" collapsed="false">
      <c r="A55" s="44"/>
      <c r="B55" s="44"/>
      <c r="C55" s="44"/>
      <c r="D55" s="44"/>
      <c r="E55" s="43"/>
      <c r="F55" s="42" t="str">
        <f aca="false">IF(OR($B55="",$C55=""),"",IF($E55&lt;&gt;"",$E55,IF(AND($D55="участник",INDEX($M$5:$M$15,MATCH($C55,$J$5:$J$15,0))&lt;&gt;""),INDEX($M$5:$M$15,MATCH($C55,$J$5:$J$15,0)),INDEX($L$5:$L$15,MATCH($C55,$J$5:$J$15,0)))))</f>
        <v/>
      </c>
      <c r="G55" s="37" t="str">
        <f aca="false">IF($C55="","",IFERROR(INDEX($K$5:$K$15,MATCH($C55,$J$5:$J$15,0)),""))</f>
        <v/>
      </c>
      <c r="H55" s="47" t="str">
        <f aca="false">IF($B55="","",IF(COUNTIFS($A$5:$A$84,$A55,$B$5:$B$84,$B55,$C$5:$C$84,$C55)&gt;1,"повтор: эта механика уже была у компании в этом цикле!",""))</f>
        <v/>
      </c>
    </row>
    <row r="56" customFormat="false" ht="15" hidden="false" customHeight="false" outlineLevel="0" collapsed="false">
      <c r="A56" s="44"/>
      <c r="B56" s="44"/>
      <c r="C56" s="44"/>
      <c r="D56" s="44"/>
      <c r="E56" s="43"/>
      <c r="F56" s="42" t="str">
        <f aca="false">IF(OR($B56="",$C56=""),"",IF($E56&lt;&gt;"",$E56,IF(AND($D56="участник",INDEX($M$5:$M$15,MATCH($C56,$J$5:$J$15,0))&lt;&gt;""),INDEX($M$5:$M$15,MATCH($C56,$J$5:$J$15,0)),INDEX($L$5:$L$15,MATCH($C56,$J$5:$J$15,0)))))</f>
        <v/>
      </c>
      <c r="G56" s="37" t="str">
        <f aca="false">IF($C56="","",IFERROR(INDEX($K$5:$K$15,MATCH($C56,$J$5:$J$15,0)),""))</f>
        <v/>
      </c>
      <c r="H56" s="47" t="str">
        <f aca="false">IF($B56="","",IF(COUNTIFS($A$5:$A$84,$A56,$B$5:$B$84,$B56,$C$5:$C$84,$C56)&gt;1,"повтор: эта механика уже была у компании в этом цикле!",""))</f>
        <v/>
      </c>
    </row>
    <row r="57" customFormat="false" ht="15" hidden="false" customHeight="false" outlineLevel="0" collapsed="false">
      <c r="A57" s="44"/>
      <c r="B57" s="44"/>
      <c r="C57" s="44"/>
      <c r="D57" s="44"/>
      <c r="E57" s="43"/>
      <c r="F57" s="42" t="str">
        <f aca="false">IF(OR($B57="",$C57=""),"",IF($E57&lt;&gt;"",$E57,IF(AND($D57="участник",INDEX($M$5:$M$15,MATCH($C57,$J$5:$J$15,0))&lt;&gt;""),INDEX($M$5:$M$15,MATCH($C57,$J$5:$J$15,0)),INDEX($L$5:$L$15,MATCH($C57,$J$5:$J$15,0)))))</f>
        <v/>
      </c>
      <c r="G57" s="37" t="str">
        <f aca="false">IF($C57="","",IFERROR(INDEX($K$5:$K$15,MATCH($C57,$J$5:$J$15,0)),""))</f>
        <v/>
      </c>
      <c r="H57" s="47" t="str">
        <f aca="false">IF($B57="","",IF(COUNTIFS($A$5:$A$84,$A57,$B$5:$B$84,$B57,$C$5:$C$84,$C57)&gt;1,"повтор: эта механика уже была у компании в этом цикле!",""))</f>
        <v/>
      </c>
    </row>
    <row r="58" customFormat="false" ht="15" hidden="false" customHeight="false" outlineLevel="0" collapsed="false">
      <c r="A58" s="44"/>
      <c r="B58" s="44"/>
      <c r="C58" s="44"/>
      <c r="D58" s="44"/>
      <c r="E58" s="43"/>
      <c r="F58" s="42" t="str">
        <f aca="false">IF(OR($B58="",$C58=""),"",IF($E58&lt;&gt;"",$E58,IF(AND($D58="участник",INDEX($M$5:$M$15,MATCH($C58,$J$5:$J$15,0))&lt;&gt;""),INDEX($M$5:$M$15,MATCH($C58,$J$5:$J$15,0)),INDEX($L$5:$L$15,MATCH($C58,$J$5:$J$15,0)))))</f>
        <v/>
      </c>
      <c r="G58" s="37" t="str">
        <f aca="false">IF($C58="","",IFERROR(INDEX($K$5:$K$15,MATCH($C58,$J$5:$J$15,0)),""))</f>
        <v/>
      </c>
      <c r="H58" s="47" t="str">
        <f aca="false">IF($B58="","",IF(COUNTIFS($A$5:$A$84,$A58,$B$5:$B$84,$B58,$C$5:$C$84,$C58)&gt;1,"повтор: эта механика уже была у компании в этом цикле!",""))</f>
        <v/>
      </c>
    </row>
    <row r="59" customFormat="false" ht="15" hidden="false" customHeight="false" outlineLevel="0" collapsed="false">
      <c r="A59" s="44"/>
      <c r="B59" s="44"/>
      <c r="C59" s="44"/>
      <c r="D59" s="44"/>
      <c r="E59" s="43"/>
      <c r="F59" s="42" t="str">
        <f aca="false">IF(OR($B59="",$C59=""),"",IF($E59&lt;&gt;"",$E59,IF(AND($D59="участник",INDEX($M$5:$M$15,MATCH($C59,$J$5:$J$15,0))&lt;&gt;""),INDEX($M$5:$M$15,MATCH($C59,$J$5:$J$15,0)),INDEX($L$5:$L$15,MATCH($C59,$J$5:$J$15,0)))))</f>
        <v/>
      </c>
      <c r="G59" s="37" t="str">
        <f aca="false">IF($C59="","",IFERROR(INDEX($K$5:$K$15,MATCH($C59,$J$5:$J$15,0)),""))</f>
        <v/>
      </c>
      <c r="H59" s="47" t="str">
        <f aca="false">IF($B59="","",IF(COUNTIFS($A$5:$A$84,$A59,$B$5:$B$84,$B59,$C$5:$C$84,$C59)&gt;1,"повтор: эта механика уже была у компании в этом цикле!",""))</f>
        <v/>
      </c>
    </row>
    <row r="60" customFormat="false" ht="15" hidden="false" customHeight="false" outlineLevel="0" collapsed="false">
      <c r="A60" s="44"/>
      <c r="B60" s="44"/>
      <c r="C60" s="44"/>
      <c r="D60" s="44"/>
      <c r="E60" s="43"/>
      <c r="F60" s="42" t="str">
        <f aca="false">IF(OR($B60="",$C60=""),"",IF($E60&lt;&gt;"",$E60,IF(AND($D60="участник",INDEX($M$5:$M$15,MATCH($C60,$J$5:$J$15,0))&lt;&gt;""),INDEX($M$5:$M$15,MATCH($C60,$J$5:$J$15,0)),INDEX($L$5:$L$15,MATCH($C60,$J$5:$J$15,0)))))</f>
        <v/>
      </c>
      <c r="G60" s="37" t="str">
        <f aca="false">IF($C60="","",IFERROR(INDEX($K$5:$K$15,MATCH($C60,$J$5:$J$15,0)),""))</f>
        <v/>
      </c>
      <c r="H60" s="47" t="str">
        <f aca="false">IF($B60="","",IF(COUNTIFS($A$5:$A$84,$A60,$B$5:$B$84,$B60,$C$5:$C$84,$C60)&gt;1,"повтор: эта механика уже была у компании в этом цикле!",""))</f>
        <v/>
      </c>
    </row>
    <row r="61" customFormat="false" ht="15" hidden="false" customHeight="false" outlineLevel="0" collapsed="false">
      <c r="A61" s="44"/>
      <c r="B61" s="44"/>
      <c r="C61" s="44"/>
      <c r="D61" s="44"/>
      <c r="E61" s="43"/>
      <c r="F61" s="42" t="str">
        <f aca="false">IF(OR($B61="",$C61=""),"",IF($E61&lt;&gt;"",$E61,IF(AND($D61="участник",INDEX($M$5:$M$15,MATCH($C61,$J$5:$J$15,0))&lt;&gt;""),INDEX($M$5:$M$15,MATCH($C61,$J$5:$J$15,0)),INDEX($L$5:$L$15,MATCH($C61,$J$5:$J$15,0)))))</f>
        <v/>
      </c>
      <c r="G61" s="37" t="str">
        <f aca="false">IF($C61="","",IFERROR(INDEX($K$5:$K$15,MATCH($C61,$J$5:$J$15,0)),""))</f>
        <v/>
      </c>
      <c r="H61" s="47" t="str">
        <f aca="false">IF($B61="","",IF(COUNTIFS($A$5:$A$84,$A61,$B$5:$B$84,$B61,$C$5:$C$84,$C61)&gt;1,"повтор: эта механика уже была у компании в этом цикле!",""))</f>
        <v/>
      </c>
    </row>
    <row r="62" customFormat="false" ht="15" hidden="false" customHeight="false" outlineLevel="0" collapsed="false">
      <c r="A62" s="44"/>
      <c r="B62" s="44"/>
      <c r="C62" s="44"/>
      <c r="D62" s="44"/>
      <c r="E62" s="43"/>
      <c r="F62" s="42" t="str">
        <f aca="false">IF(OR($B62="",$C62=""),"",IF($E62&lt;&gt;"",$E62,IF(AND($D62="участник",INDEX($M$5:$M$15,MATCH($C62,$J$5:$J$15,0))&lt;&gt;""),INDEX($M$5:$M$15,MATCH($C62,$J$5:$J$15,0)),INDEX($L$5:$L$15,MATCH($C62,$J$5:$J$15,0)))))</f>
        <v/>
      </c>
      <c r="G62" s="37" t="str">
        <f aca="false">IF($C62="","",IFERROR(INDEX($K$5:$K$15,MATCH($C62,$J$5:$J$15,0)),""))</f>
        <v/>
      </c>
      <c r="H62" s="47" t="str">
        <f aca="false">IF($B62="","",IF(COUNTIFS($A$5:$A$84,$A62,$B$5:$B$84,$B62,$C$5:$C$84,$C62)&gt;1,"повтор: эта механика уже была у компании в этом цикле!",""))</f>
        <v/>
      </c>
    </row>
    <row r="63" customFormat="false" ht="15" hidden="false" customHeight="false" outlineLevel="0" collapsed="false">
      <c r="A63" s="44"/>
      <c r="B63" s="44"/>
      <c r="C63" s="44"/>
      <c r="D63" s="44"/>
      <c r="E63" s="43"/>
      <c r="F63" s="42" t="str">
        <f aca="false">IF(OR($B63="",$C63=""),"",IF($E63&lt;&gt;"",$E63,IF(AND($D63="участник",INDEX($M$5:$M$15,MATCH($C63,$J$5:$J$15,0))&lt;&gt;""),INDEX($M$5:$M$15,MATCH($C63,$J$5:$J$15,0)),INDEX($L$5:$L$15,MATCH($C63,$J$5:$J$15,0)))))</f>
        <v/>
      </c>
      <c r="G63" s="37" t="str">
        <f aca="false">IF($C63="","",IFERROR(INDEX($K$5:$K$15,MATCH($C63,$J$5:$J$15,0)),""))</f>
        <v/>
      </c>
      <c r="H63" s="47" t="str">
        <f aca="false">IF($B63="","",IF(COUNTIFS($A$5:$A$84,$A63,$B$5:$B$84,$B63,$C$5:$C$84,$C63)&gt;1,"повтор: эта механика уже была у компании в этом цикле!",""))</f>
        <v/>
      </c>
    </row>
    <row r="64" customFormat="false" ht="15" hidden="false" customHeight="false" outlineLevel="0" collapsed="false">
      <c r="A64" s="44"/>
      <c r="B64" s="44"/>
      <c r="C64" s="44"/>
      <c r="D64" s="44"/>
      <c r="E64" s="43"/>
      <c r="F64" s="42" t="str">
        <f aca="false">IF(OR($B64="",$C64=""),"",IF($E64&lt;&gt;"",$E64,IF(AND($D64="участник",INDEX($M$5:$M$15,MATCH($C64,$J$5:$J$15,0))&lt;&gt;""),INDEX($M$5:$M$15,MATCH($C64,$J$5:$J$15,0)),INDEX($L$5:$L$15,MATCH($C64,$J$5:$J$15,0)))))</f>
        <v/>
      </c>
      <c r="G64" s="37" t="str">
        <f aca="false">IF($C64="","",IFERROR(INDEX($K$5:$K$15,MATCH($C64,$J$5:$J$15,0)),""))</f>
        <v/>
      </c>
      <c r="H64" s="47" t="str">
        <f aca="false">IF($B64="","",IF(COUNTIFS($A$5:$A$84,$A64,$B$5:$B$84,$B64,$C$5:$C$84,$C64)&gt;1,"повтор: эта механика уже была у компании в этом цикле!",""))</f>
        <v/>
      </c>
    </row>
    <row r="65" customFormat="false" ht="15" hidden="false" customHeight="false" outlineLevel="0" collapsed="false">
      <c r="A65" s="44"/>
      <c r="B65" s="44"/>
      <c r="C65" s="44"/>
      <c r="D65" s="44"/>
      <c r="E65" s="43"/>
      <c r="F65" s="42" t="str">
        <f aca="false">IF(OR($B65="",$C65=""),"",IF($E65&lt;&gt;"",$E65,IF(AND($D65="участник",INDEX($M$5:$M$15,MATCH($C65,$J$5:$J$15,0))&lt;&gt;""),INDEX($M$5:$M$15,MATCH($C65,$J$5:$J$15,0)),INDEX($L$5:$L$15,MATCH($C65,$J$5:$J$15,0)))))</f>
        <v/>
      </c>
      <c r="G65" s="37" t="str">
        <f aca="false">IF($C65="","",IFERROR(INDEX($K$5:$K$15,MATCH($C65,$J$5:$J$15,0)),""))</f>
        <v/>
      </c>
      <c r="H65" s="47" t="str">
        <f aca="false">IF($B65="","",IF(COUNTIFS($A$5:$A$84,$A65,$B$5:$B$84,$B65,$C$5:$C$84,$C65)&gt;1,"повтор: эта механика уже была у компании в этом цикле!",""))</f>
        <v/>
      </c>
    </row>
    <row r="66" customFormat="false" ht="15" hidden="false" customHeight="false" outlineLevel="0" collapsed="false">
      <c r="A66" s="44"/>
      <c r="B66" s="44"/>
      <c r="C66" s="44"/>
      <c r="D66" s="44"/>
      <c r="E66" s="43"/>
      <c r="F66" s="42" t="str">
        <f aca="false">IF(OR($B66="",$C66=""),"",IF($E66&lt;&gt;"",$E66,IF(AND($D66="участник",INDEX($M$5:$M$15,MATCH($C66,$J$5:$J$15,0))&lt;&gt;""),INDEX($M$5:$M$15,MATCH($C66,$J$5:$J$15,0)),INDEX($L$5:$L$15,MATCH($C66,$J$5:$J$15,0)))))</f>
        <v/>
      </c>
      <c r="G66" s="37" t="str">
        <f aca="false">IF($C66="","",IFERROR(INDEX($K$5:$K$15,MATCH($C66,$J$5:$J$15,0)),""))</f>
        <v/>
      </c>
      <c r="H66" s="47" t="str">
        <f aca="false">IF($B66="","",IF(COUNTIFS($A$5:$A$84,$A66,$B$5:$B$84,$B66,$C$5:$C$84,$C66)&gt;1,"повтор: эта механика уже была у компании в этом цикле!",""))</f>
        <v/>
      </c>
    </row>
    <row r="67" customFormat="false" ht="15" hidden="false" customHeight="false" outlineLevel="0" collapsed="false">
      <c r="A67" s="44"/>
      <c r="B67" s="44"/>
      <c r="C67" s="44"/>
      <c r="D67" s="44"/>
      <c r="E67" s="43"/>
      <c r="F67" s="42" t="str">
        <f aca="false">IF(OR($B67="",$C67=""),"",IF($E67&lt;&gt;"",$E67,IF(AND($D67="участник",INDEX($M$5:$M$15,MATCH($C67,$J$5:$J$15,0))&lt;&gt;""),INDEX($M$5:$M$15,MATCH($C67,$J$5:$J$15,0)),INDEX($L$5:$L$15,MATCH($C67,$J$5:$J$15,0)))))</f>
        <v/>
      </c>
      <c r="G67" s="37" t="str">
        <f aca="false">IF($C67="","",IFERROR(INDEX($K$5:$K$15,MATCH($C67,$J$5:$J$15,0)),""))</f>
        <v/>
      </c>
      <c r="H67" s="47" t="str">
        <f aca="false">IF($B67="","",IF(COUNTIFS($A$5:$A$84,$A67,$B$5:$B$84,$B67,$C$5:$C$84,$C67)&gt;1,"повтор: эта механика уже была у компании в этом цикле!",""))</f>
        <v/>
      </c>
    </row>
    <row r="68" customFormat="false" ht="15" hidden="false" customHeight="false" outlineLevel="0" collapsed="false">
      <c r="A68" s="44"/>
      <c r="B68" s="44"/>
      <c r="C68" s="44"/>
      <c r="D68" s="44"/>
      <c r="E68" s="43"/>
      <c r="F68" s="42" t="str">
        <f aca="false">IF(OR($B68="",$C68=""),"",IF($E68&lt;&gt;"",$E68,IF(AND($D68="участник",INDEX($M$5:$M$15,MATCH($C68,$J$5:$J$15,0))&lt;&gt;""),INDEX($M$5:$M$15,MATCH($C68,$J$5:$J$15,0)),INDEX($L$5:$L$15,MATCH($C68,$J$5:$J$15,0)))))</f>
        <v/>
      </c>
      <c r="G68" s="37" t="str">
        <f aca="false">IF($C68="","",IFERROR(INDEX($K$5:$K$15,MATCH($C68,$J$5:$J$15,0)),""))</f>
        <v/>
      </c>
      <c r="H68" s="47" t="str">
        <f aca="false">IF($B68="","",IF(COUNTIFS($A$5:$A$84,$A68,$B$5:$B$84,$B68,$C$5:$C$84,$C68)&gt;1,"повтор: эта механика уже была у компании в этом цикле!",""))</f>
        <v/>
      </c>
    </row>
    <row r="69" customFormat="false" ht="15" hidden="false" customHeight="false" outlineLevel="0" collapsed="false">
      <c r="A69" s="44"/>
      <c r="B69" s="44"/>
      <c r="C69" s="44"/>
      <c r="D69" s="44"/>
      <c r="E69" s="43"/>
      <c r="F69" s="42" t="str">
        <f aca="false">IF(OR($B69="",$C69=""),"",IF($E69&lt;&gt;"",$E69,IF(AND($D69="участник",INDEX($M$5:$M$15,MATCH($C69,$J$5:$J$15,0))&lt;&gt;""),INDEX($M$5:$M$15,MATCH($C69,$J$5:$J$15,0)),INDEX($L$5:$L$15,MATCH($C69,$J$5:$J$15,0)))))</f>
        <v/>
      </c>
      <c r="G69" s="37" t="str">
        <f aca="false">IF($C69="","",IFERROR(INDEX($K$5:$K$15,MATCH($C69,$J$5:$J$15,0)),""))</f>
        <v/>
      </c>
      <c r="H69" s="47" t="str">
        <f aca="false">IF($B69="","",IF(COUNTIFS($A$5:$A$84,$A69,$B$5:$B$84,$B69,$C$5:$C$84,$C69)&gt;1,"повтор: эта механика уже была у компании в этом цикле!",""))</f>
        <v/>
      </c>
    </row>
    <row r="70" customFormat="false" ht="15" hidden="false" customHeight="false" outlineLevel="0" collapsed="false">
      <c r="A70" s="44"/>
      <c r="B70" s="44"/>
      <c r="C70" s="44"/>
      <c r="D70" s="44"/>
      <c r="E70" s="43"/>
      <c r="F70" s="42" t="str">
        <f aca="false">IF(OR($B70="",$C70=""),"",IF($E70&lt;&gt;"",$E70,IF(AND($D70="участник",INDEX($M$5:$M$15,MATCH($C70,$J$5:$J$15,0))&lt;&gt;""),INDEX($M$5:$M$15,MATCH($C70,$J$5:$J$15,0)),INDEX($L$5:$L$15,MATCH($C70,$J$5:$J$15,0)))))</f>
        <v/>
      </c>
      <c r="G70" s="37" t="str">
        <f aca="false">IF($C70="","",IFERROR(INDEX($K$5:$K$15,MATCH($C70,$J$5:$J$15,0)),""))</f>
        <v/>
      </c>
      <c r="H70" s="47" t="str">
        <f aca="false">IF($B70="","",IF(COUNTIFS($A$5:$A$84,$A70,$B$5:$B$84,$B70,$C$5:$C$84,$C70)&gt;1,"повтор: эта механика уже была у компании в этом цикле!",""))</f>
        <v/>
      </c>
    </row>
    <row r="71" customFormat="false" ht="15" hidden="false" customHeight="false" outlineLevel="0" collapsed="false">
      <c r="A71" s="44"/>
      <c r="B71" s="44"/>
      <c r="C71" s="44"/>
      <c r="D71" s="44"/>
      <c r="E71" s="43"/>
      <c r="F71" s="42" t="str">
        <f aca="false">IF(OR($B71="",$C71=""),"",IF($E71&lt;&gt;"",$E71,IF(AND($D71="участник",INDEX($M$5:$M$15,MATCH($C71,$J$5:$J$15,0))&lt;&gt;""),INDEX($M$5:$M$15,MATCH($C71,$J$5:$J$15,0)),INDEX($L$5:$L$15,MATCH($C71,$J$5:$J$15,0)))))</f>
        <v/>
      </c>
      <c r="G71" s="37" t="str">
        <f aca="false">IF($C71="","",IFERROR(INDEX($K$5:$K$15,MATCH($C71,$J$5:$J$15,0)),""))</f>
        <v/>
      </c>
      <c r="H71" s="47" t="str">
        <f aca="false">IF($B71="","",IF(COUNTIFS($A$5:$A$84,$A71,$B$5:$B$84,$B71,$C$5:$C$84,$C71)&gt;1,"повтор: эта механика уже была у компании в этом цикле!",""))</f>
        <v/>
      </c>
    </row>
    <row r="72" customFormat="false" ht="15" hidden="false" customHeight="false" outlineLevel="0" collapsed="false">
      <c r="A72" s="44"/>
      <c r="B72" s="44"/>
      <c r="C72" s="44"/>
      <c r="D72" s="44"/>
      <c r="E72" s="43"/>
      <c r="F72" s="42" t="str">
        <f aca="false">IF(OR($B72="",$C72=""),"",IF($E72&lt;&gt;"",$E72,IF(AND($D72="участник",INDEX($M$5:$M$15,MATCH($C72,$J$5:$J$15,0))&lt;&gt;""),INDEX($M$5:$M$15,MATCH($C72,$J$5:$J$15,0)),INDEX($L$5:$L$15,MATCH($C72,$J$5:$J$15,0)))))</f>
        <v/>
      </c>
      <c r="G72" s="37" t="str">
        <f aca="false">IF($C72="","",IFERROR(INDEX($K$5:$K$15,MATCH($C72,$J$5:$J$15,0)),""))</f>
        <v/>
      </c>
      <c r="H72" s="47" t="str">
        <f aca="false">IF($B72="","",IF(COUNTIFS($A$5:$A$84,$A72,$B$5:$B$84,$B72,$C$5:$C$84,$C72)&gt;1,"повтор: эта механика уже была у компании в этом цикле!",""))</f>
        <v/>
      </c>
    </row>
    <row r="73" customFormat="false" ht="15" hidden="false" customHeight="false" outlineLevel="0" collapsed="false">
      <c r="A73" s="44"/>
      <c r="B73" s="44"/>
      <c r="C73" s="44"/>
      <c r="D73" s="44"/>
      <c r="E73" s="43"/>
      <c r="F73" s="42" t="str">
        <f aca="false">IF(OR($B73="",$C73=""),"",IF($E73&lt;&gt;"",$E73,IF(AND($D73="участник",INDEX($M$5:$M$15,MATCH($C73,$J$5:$J$15,0))&lt;&gt;""),INDEX($M$5:$M$15,MATCH($C73,$J$5:$J$15,0)),INDEX($L$5:$L$15,MATCH($C73,$J$5:$J$15,0)))))</f>
        <v/>
      </c>
      <c r="G73" s="37" t="str">
        <f aca="false">IF($C73="","",IFERROR(INDEX($K$5:$K$15,MATCH($C73,$J$5:$J$15,0)),""))</f>
        <v/>
      </c>
      <c r="H73" s="47" t="str">
        <f aca="false">IF($B73="","",IF(COUNTIFS($A$5:$A$84,$A73,$B$5:$B$84,$B73,$C$5:$C$84,$C73)&gt;1,"повтор: эта механика уже была у компании в этом цикле!",""))</f>
        <v/>
      </c>
    </row>
    <row r="74" customFormat="false" ht="15" hidden="false" customHeight="false" outlineLevel="0" collapsed="false">
      <c r="A74" s="44"/>
      <c r="B74" s="44"/>
      <c r="C74" s="44"/>
      <c r="D74" s="44"/>
      <c r="E74" s="43"/>
      <c r="F74" s="42" t="str">
        <f aca="false">IF(OR($B74="",$C74=""),"",IF($E74&lt;&gt;"",$E74,IF(AND($D74="участник",INDEX($M$5:$M$15,MATCH($C74,$J$5:$J$15,0))&lt;&gt;""),INDEX($M$5:$M$15,MATCH($C74,$J$5:$J$15,0)),INDEX($L$5:$L$15,MATCH($C74,$J$5:$J$15,0)))))</f>
        <v/>
      </c>
      <c r="G74" s="37" t="str">
        <f aca="false">IF($C74="","",IFERROR(INDEX($K$5:$K$15,MATCH($C74,$J$5:$J$15,0)),""))</f>
        <v/>
      </c>
      <c r="H74" s="47" t="str">
        <f aca="false">IF($B74="","",IF(COUNTIFS($A$5:$A$84,$A74,$B$5:$B$84,$B74,$C$5:$C$84,$C74)&gt;1,"повтор: эта механика уже была у компании в этом цикле!",""))</f>
        <v/>
      </c>
    </row>
    <row r="75" customFormat="false" ht="15" hidden="false" customHeight="false" outlineLevel="0" collapsed="false">
      <c r="A75" s="44"/>
      <c r="B75" s="44"/>
      <c r="C75" s="44"/>
      <c r="D75" s="44"/>
      <c r="E75" s="43"/>
      <c r="F75" s="42" t="str">
        <f aca="false">IF(OR($B75="",$C75=""),"",IF($E75&lt;&gt;"",$E75,IF(AND($D75="участник",INDEX($M$5:$M$15,MATCH($C75,$J$5:$J$15,0))&lt;&gt;""),INDEX($M$5:$M$15,MATCH($C75,$J$5:$J$15,0)),INDEX($L$5:$L$15,MATCH($C75,$J$5:$J$15,0)))))</f>
        <v/>
      </c>
      <c r="G75" s="37" t="str">
        <f aca="false">IF($C75="","",IFERROR(INDEX($K$5:$K$15,MATCH($C75,$J$5:$J$15,0)),""))</f>
        <v/>
      </c>
      <c r="H75" s="47" t="str">
        <f aca="false">IF($B75="","",IF(COUNTIFS($A$5:$A$84,$A75,$B$5:$B$84,$B75,$C$5:$C$84,$C75)&gt;1,"повтор: эта механика уже была у компании в этом цикле!",""))</f>
        <v/>
      </c>
    </row>
    <row r="76" customFormat="false" ht="15" hidden="false" customHeight="false" outlineLevel="0" collapsed="false">
      <c r="A76" s="44"/>
      <c r="B76" s="44"/>
      <c r="C76" s="44"/>
      <c r="D76" s="44"/>
      <c r="E76" s="43"/>
      <c r="F76" s="42" t="str">
        <f aca="false">IF(OR($B76="",$C76=""),"",IF($E76&lt;&gt;"",$E76,IF(AND($D76="участник",INDEX($M$5:$M$15,MATCH($C76,$J$5:$J$15,0))&lt;&gt;""),INDEX($M$5:$M$15,MATCH($C76,$J$5:$J$15,0)),INDEX($L$5:$L$15,MATCH($C76,$J$5:$J$15,0)))))</f>
        <v/>
      </c>
      <c r="G76" s="37" t="str">
        <f aca="false">IF($C76="","",IFERROR(INDEX($K$5:$K$15,MATCH($C76,$J$5:$J$15,0)),""))</f>
        <v/>
      </c>
      <c r="H76" s="47" t="str">
        <f aca="false">IF($B76="","",IF(COUNTIFS($A$5:$A$84,$A76,$B$5:$B$84,$B76,$C$5:$C$84,$C76)&gt;1,"повтор: эта механика уже была у компании в этом цикле!",""))</f>
        <v/>
      </c>
    </row>
    <row r="77" customFormat="false" ht="15" hidden="false" customHeight="false" outlineLevel="0" collapsed="false">
      <c r="A77" s="44"/>
      <c r="B77" s="44"/>
      <c r="C77" s="44"/>
      <c r="D77" s="44"/>
      <c r="E77" s="43"/>
      <c r="F77" s="42" t="str">
        <f aca="false">IF(OR($B77="",$C77=""),"",IF($E77&lt;&gt;"",$E77,IF(AND($D77="участник",INDEX($M$5:$M$15,MATCH($C77,$J$5:$J$15,0))&lt;&gt;""),INDEX($M$5:$M$15,MATCH($C77,$J$5:$J$15,0)),INDEX($L$5:$L$15,MATCH($C77,$J$5:$J$15,0)))))</f>
        <v/>
      </c>
      <c r="G77" s="37" t="str">
        <f aca="false">IF($C77="","",IFERROR(INDEX($K$5:$K$15,MATCH($C77,$J$5:$J$15,0)),""))</f>
        <v/>
      </c>
      <c r="H77" s="47" t="str">
        <f aca="false">IF($B77="","",IF(COUNTIFS($A$5:$A$84,$A77,$B$5:$B$84,$B77,$C$5:$C$84,$C77)&gt;1,"повтор: эта механика уже была у компании в этом цикле!",""))</f>
        <v/>
      </c>
    </row>
    <row r="78" customFormat="false" ht="15" hidden="false" customHeight="false" outlineLevel="0" collapsed="false">
      <c r="A78" s="44"/>
      <c r="B78" s="44"/>
      <c r="C78" s="44"/>
      <c r="D78" s="44"/>
      <c r="E78" s="43"/>
      <c r="F78" s="42" t="str">
        <f aca="false">IF(OR($B78="",$C78=""),"",IF($E78&lt;&gt;"",$E78,IF(AND($D78="участник",INDEX($M$5:$M$15,MATCH($C78,$J$5:$J$15,0))&lt;&gt;""),INDEX($M$5:$M$15,MATCH($C78,$J$5:$J$15,0)),INDEX($L$5:$L$15,MATCH($C78,$J$5:$J$15,0)))))</f>
        <v/>
      </c>
      <c r="G78" s="37" t="str">
        <f aca="false">IF($C78="","",IFERROR(INDEX($K$5:$K$15,MATCH($C78,$J$5:$J$15,0)),""))</f>
        <v/>
      </c>
      <c r="H78" s="47" t="str">
        <f aca="false">IF($B78="","",IF(COUNTIFS($A$5:$A$84,$A78,$B$5:$B$84,$B78,$C$5:$C$84,$C78)&gt;1,"повтор: эта механика уже была у компании в этом цикле!",""))</f>
        <v/>
      </c>
    </row>
    <row r="79" customFormat="false" ht="15" hidden="false" customHeight="false" outlineLevel="0" collapsed="false">
      <c r="A79" s="44"/>
      <c r="B79" s="44"/>
      <c r="C79" s="44"/>
      <c r="D79" s="44"/>
      <c r="E79" s="43"/>
      <c r="F79" s="42" t="str">
        <f aca="false">IF(OR($B79="",$C79=""),"",IF($E79&lt;&gt;"",$E79,IF(AND($D79="участник",INDEX($M$5:$M$15,MATCH($C79,$J$5:$J$15,0))&lt;&gt;""),INDEX($M$5:$M$15,MATCH($C79,$J$5:$J$15,0)),INDEX($L$5:$L$15,MATCH($C79,$J$5:$J$15,0)))))</f>
        <v/>
      </c>
      <c r="G79" s="37" t="str">
        <f aca="false">IF($C79="","",IFERROR(INDEX($K$5:$K$15,MATCH($C79,$J$5:$J$15,0)),""))</f>
        <v/>
      </c>
      <c r="H79" s="47" t="str">
        <f aca="false">IF($B79="","",IF(COUNTIFS($A$5:$A$84,$A79,$B$5:$B$84,$B79,$C$5:$C$84,$C79)&gt;1,"повтор: эта механика уже была у компании в этом цикле!",""))</f>
        <v/>
      </c>
    </row>
    <row r="80" customFormat="false" ht="15" hidden="false" customHeight="false" outlineLevel="0" collapsed="false">
      <c r="A80" s="44"/>
      <c r="B80" s="44"/>
      <c r="C80" s="44"/>
      <c r="D80" s="44"/>
      <c r="E80" s="43"/>
      <c r="F80" s="42" t="str">
        <f aca="false">IF(OR($B80="",$C80=""),"",IF($E80&lt;&gt;"",$E80,IF(AND($D80="участник",INDEX($M$5:$M$15,MATCH($C80,$J$5:$J$15,0))&lt;&gt;""),INDEX($M$5:$M$15,MATCH($C80,$J$5:$J$15,0)),INDEX($L$5:$L$15,MATCH($C80,$J$5:$J$15,0)))))</f>
        <v/>
      </c>
      <c r="G80" s="37" t="str">
        <f aca="false">IF($C80="","",IFERROR(INDEX($K$5:$K$15,MATCH($C80,$J$5:$J$15,0)),""))</f>
        <v/>
      </c>
      <c r="H80" s="47" t="str">
        <f aca="false">IF($B80="","",IF(COUNTIFS($A$5:$A$84,$A80,$B$5:$B$84,$B80,$C$5:$C$84,$C80)&gt;1,"повтор: эта механика уже была у компании в этом цикле!",""))</f>
        <v/>
      </c>
    </row>
    <row r="81" customFormat="false" ht="15" hidden="false" customHeight="false" outlineLevel="0" collapsed="false">
      <c r="A81" s="44"/>
      <c r="B81" s="44"/>
      <c r="C81" s="44"/>
      <c r="D81" s="44"/>
      <c r="E81" s="43"/>
      <c r="F81" s="42" t="str">
        <f aca="false">IF(OR($B81="",$C81=""),"",IF($E81&lt;&gt;"",$E81,IF(AND($D81="участник",INDEX($M$5:$M$15,MATCH($C81,$J$5:$J$15,0))&lt;&gt;""),INDEX($M$5:$M$15,MATCH($C81,$J$5:$J$15,0)),INDEX($L$5:$L$15,MATCH($C81,$J$5:$J$15,0)))))</f>
        <v/>
      </c>
      <c r="G81" s="37" t="str">
        <f aca="false">IF($C81="","",IFERROR(INDEX($K$5:$K$15,MATCH($C81,$J$5:$J$15,0)),""))</f>
        <v/>
      </c>
      <c r="H81" s="47" t="str">
        <f aca="false">IF($B81="","",IF(COUNTIFS($A$5:$A$84,$A81,$B$5:$B$84,$B81,$C$5:$C$84,$C81)&gt;1,"повтор: эта механика уже была у компании в этом цикле!",""))</f>
        <v/>
      </c>
    </row>
    <row r="82" customFormat="false" ht="15" hidden="false" customHeight="false" outlineLevel="0" collapsed="false">
      <c r="A82" s="44"/>
      <c r="B82" s="44"/>
      <c r="C82" s="44"/>
      <c r="D82" s="44"/>
      <c r="E82" s="43"/>
      <c r="F82" s="42" t="str">
        <f aca="false">IF(OR($B82="",$C82=""),"",IF($E82&lt;&gt;"",$E82,IF(AND($D82="участник",INDEX($M$5:$M$15,MATCH($C82,$J$5:$J$15,0))&lt;&gt;""),INDEX($M$5:$M$15,MATCH($C82,$J$5:$J$15,0)),INDEX($L$5:$L$15,MATCH($C82,$J$5:$J$15,0)))))</f>
        <v/>
      </c>
      <c r="G82" s="37" t="str">
        <f aca="false">IF($C82="","",IFERROR(INDEX($K$5:$K$15,MATCH($C82,$J$5:$J$15,0)),""))</f>
        <v/>
      </c>
      <c r="H82" s="47" t="str">
        <f aca="false">IF($B82="","",IF(COUNTIFS($A$5:$A$84,$A82,$B$5:$B$84,$B82,$C$5:$C$84,$C82)&gt;1,"повтор: эта механика уже была у компании в этом цикле!",""))</f>
        <v/>
      </c>
    </row>
    <row r="83" customFormat="false" ht="15" hidden="false" customHeight="false" outlineLevel="0" collapsed="false">
      <c r="A83" s="44"/>
      <c r="B83" s="44"/>
      <c r="C83" s="44"/>
      <c r="D83" s="44"/>
      <c r="E83" s="43"/>
      <c r="F83" s="42" t="str">
        <f aca="false">IF(OR($B83="",$C83=""),"",IF($E83&lt;&gt;"",$E83,IF(AND($D83="участник",INDEX($M$5:$M$15,MATCH($C83,$J$5:$J$15,0))&lt;&gt;""),INDEX($M$5:$M$15,MATCH($C83,$J$5:$J$15,0)),INDEX($L$5:$L$15,MATCH($C83,$J$5:$J$15,0)))))</f>
        <v/>
      </c>
      <c r="G83" s="37" t="str">
        <f aca="false">IF($C83="","",IFERROR(INDEX($K$5:$K$15,MATCH($C83,$J$5:$J$15,0)),""))</f>
        <v/>
      </c>
      <c r="H83" s="47" t="str">
        <f aca="false">IF($B83="","",IF(COUNTIFS($A$5:$A$84,$A83,$B$5:$B$84,$B83,$C$5:$C$84,$C83)&gt;1,"повтор: эта механика уже была у компании в этом цикле!",""))</f>
        <v/>
      </c>
    </row>
    <row r="84" customFormat="false" ht="15" hidden="false" customHeight="false" outlineLevel="0" collapsed="false">
      <c r="A84" s="44"/>
      <c r="B84" s="44"/>
      <c r="C84" s="44"/>
      <c r="D84" s="44"/>
      <c r="E84" s="43"/>
      <c r="F84" s="42" t="str">
        <f aca="false">IF(OR($B84="",$C84=""),"",IF($E84&lt;&gt;"",$E84,IF(AND($D84="участник",INDEX($M$5:$M$15,MATCH($C84,$J$5:$J$15,0))&lt;&gt;""),INDEX($M$5:$M$15,MATCH($C84,$J$5:$J$15,0)),INDEX($L$5:$L$15,MATCH($C84,$J$5:$J$15,0)))))</f>
        <v/>
      </c>
      <c r="G84" s="37" t="str">
        <f aca="false">IF($C84="","",IFERROR(INDEX($K$5:$K$15,MATCH($C84,$J$5:$J$15,0)),""))</f>
        <v/>
      </c>
      <c r="H84" s="47" t="str">
        <f aca="false">IF($B84="","",IF(COUNTIFS($A$5:$A$84,$A84,$B$5:$B$84,$B84,$C$5:$C$84,$C84)&gt;1,"повтор: эта механика уже была у компании в этом цикле!",""))</f>
        <v/>
      </c>
    </row>
  </sheetData>
  <dataValidations count="4">
    <dataValidation allowBlank="true" error="Целое число от 1 до 10." errorStyle="stop" operator="between" showDropDown="false" showErrorMessage="true" showInputMessage="false" sqref="A5:A84" type="whole">
      <formula1>1</formula1>
      <formula2>10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B5:B84" type="list">
      <formula1>ИНФА!$B$5:$B$16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C5:C84" type="list">
      <formula1>$J$5:$J$15</formula1>
      <formula2>0</formula2>
    </dataValidation>
    <dataValidation allowBlank="true" error="Выберите значение из выпадающего списка." errorStyle="stop" errorTitle="Значение не из списка" operator="between" showDropDown="false" showErrorMessage="true" showInputMessage="false" sqref="D5:D84" type="list">
      <formula1>"—,победитель,участник"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60"/>
    <col collapsed="false" customWidth="true" hidden="false" outlineLevel="0" max="11" min="5" style="0" width="8"/>
  </cols>
  <sheetData>
    <row r="1" customFormat="false" ht="17.35" hidden="false" customHeight="false" outlineLevel="0" collapsed="false">
      <c r="A1" s="8" t="s">
        <v>655</v>
      </c>
    </row>
    <row r="2" customFormat="false" ht="15" hidden="false" customHeight="false" outlineLevel="0" collapsed="false">
      <c r="A2" s="2" t="s">
        <v>656</v>
      </c>
    </row>
    <row r="3" customFormat="false" ht="15" hidden="false" customHeight="false" outlineLevel="0" collapsed="false">
      <c r="A3" s="41" t="s">
        <v>657</v>
      </c>
    </row>
    <row r="4" customFormat="false" ht="42" hidden="false" customHeight="true" outlineLevel="0" collapsed="false">
      <c r="A4" s="9" t="s">
        <v>107</v>
      </c>
      <c r="B4" s="9" t="n">
        <v>1</v>
      </c>
      <c r="C4" s="9" t="n">
        <v>2</v>
      </c>
      <c r="D4" s="9" t="n">
        <v>3</v>
      </c>
      <c r="E4" s="9" t="n">
        <v>4</v>
      </c>
      <c r="F4" s="9" t="n">
        <v>5</v>
      </c>
      <c r="G4" s="9" t="n">
        <v>6</v>
      </c>
      <c r="H4" s="9" t="n">
        <v>7</v>
      </c>
      <c r="I4" s="9" t="n">
        <v>8</v>
      </c>
      <c r="J4" s="9" t="n">
        <v>9</v>
      </c>
      <c r="K4" s="9" t="n">
        <v>10</v>
      </c>
    </row>
    <row r="5" customFormat="false" ht="15" hidden="false" customHeight="false" outlineLevel="0" collapsed="false">
      <c r="A5" s="15" t="s">
        <v>128</v>
      </c>
      <c r="B5" s="19" t="n">
        <v>1</v>
      </c>
      <c r="C5" s="19" t="n">
        <v>1</v>
      </c>
      <c r="D5" s="19" t="n">
        <v>1</v>
      </c>
      <c r="E5" s="19" t="n">
        <v>1</v>
      </c>
      <c r="F5" s="19" t="n">
        <v>1</v>
      </c>
      <c r="G5" s="19" t="n">
        <v>1</v>
      </c>
      <c r="H5" s="19" t="n">
        <v>1</v>
      </c>
      <c r="I5" s="19" t="n">
        <v>1</v>
      </c>
      <c r="J5" s="19" t="n">
        <v>1</v>
      </c>
      <c r="K5" s="19" t="n">
        <v>1</v>
      </c>
    </row>
    <row r="6" customFormat="false" ht="15" hidden="false" customHeight="false" outlineLevel="0" collapsed="false">
      <c r="A6" s="15" t="s">
        <v>134</v>
      </c>
      <c r="B6" s="19" t="n">
        <v>1</v>
      </c>
      <c r="C6" s="19" t="n">
        <v>1</v>
      </c>
      <c r="D6" s="19" t="n">
        <v>1</v>
      </c>
      <c r="E6" s="19" t="n">
        <v>1</v>
      </c>
      <c r="F6" s="19" t="n">
        <v>1</v>
      </c>
      <c r="G6" s="19" t="n">
        <v>1</v>
      </c>
      <c r="H6" s="19" t="n">
        <v>1</v>
      </c>
      <c r="I6" s="19" t="n">
        <v>1</v>
      </c>
      <c r="J6" s="19" t="n">
        <v>1</v>
      </c>
      <c r="K6" s="19" t="n">
        <v>1</v>
      </c>
    </row>
    <row r="7" customFormat="false" ht="15" hidden="false" customHeight="false" outlineLevel="0" collapsed="false">
      <c r="A7" s="15" t="s">
        <v>166</v>
      </c>
      <c r="B7" s="19" t="n">
        <v>1</v>
      </c>
      <c r="C7" s="19" t="n">
        <v>1</v>
      </c>
      <c r="D7" s="19" t="n">
        <v>1</v>
      </c>
      <c r="E7" s="19" t="n">
        <v>1</v>
      </c>
      <c r="F7" s="19" t="n">
        <v>1</v>
      </c>
      <c r="G7" s="19" t="n">
        <v>1</v>
      </c>
      <c r="H7" s="19" t="n">
        <v>1</v>
      </c>
      <c r="I7" s="19" t="n">
        <v>1</v>
      </c>
      <c r="J7" s="19" t="n">
        <v>1</v>
      </c>
      <c r="K7" s="19" t="n">
        <v>1</v>
      </c>
    </row>
    <row r="8" customFormat="false" ht="15" hidden="false" customHeight="false" outlineLevel="0" collapsed="false">
      <c r="A8" s="15" t="s">
        <v>122</v>
      </c>
      <c r="B8" s="19" t="n">
        <v>1</v>
      </c>
      <c r="C8" s="19" t="n">
        <v>1</v>
      </c>
      <c r="D8" s="19" t="n">
        <v>1</v>
      </c>
      <c r="E8" s="19" t="n">
        <v>1</v>
      </c>
      <c r="F8" s="19" t="n">
        <v>1</v>
      </c>
      <c r="G8" s="19" t="n">
        <v>1</v>
      </c>
      <c r="H8" s="19" t="n">
        <v>1</v>
      </c>
      <c r="I8" s="19" t="n">
        <v>1</v>
      </c>
      <c r="J8" s="19" t="n">
        <v>1</v>
      </c>
      <c r="K8" s="19" t="n">
        <v>1</v>
      </c>
    </row>
    <row r="10" customFormat="false" ht="15" hidden="false" customHeight="false" outlineLevel="0" collapsed="false">
      <c r="A10" s="41" t="s">
        <v>658</v>
      </c>
    </row>
    <row r="11" customFormat="false" ht="42" hidden="false" customHeight="true" outlineLevel="0" collapsed="false">
      <c r="A11" s="9" t="s">
        <v>256</v>
      </c>
      <c r="B11" s="9" t="s">
        <v>659</v>
      </c>
      <c r="C11" s="9" t="s">
        <v>660</v>
      </c>
      <c r="D11" s="9" t="s">
        <v>661</v>
      </c>
    </row>
    <row r="12" customFormat="false" ht="15" hidden="false" customHeight="false" outlineLevel="0" collapsed="false">
      <c r="A12" s="54"/>
      <c r="B12" s="51" t="s">
        <v>662</v>
      </c>
      <c r="C12" s="51" t="s">
        <v>663</v>
      </c>
      <c r="D12" s="51" t="s">
        <v>664</v>
      </c>
    </row>
    <row r="13" customFormat="false" ht="15" hidden="false" customHeight="false" outlineLevel="0" collapsed="false">
      <c r="A13" s="54"/>
      <c r="B13" s="51" t="s">
        <v>665</v>
      </c>
      <c r="C13" s="51" t="s">
        <v>666</v>
      </c>
      <c r="D13" s="51" t="s">
        <v>667</v>
      </c>
    </row>
    <row r="14" customFormat="false" ht="15" hidden="false" customHeight="false" outlineLevel="0" collapsed="false">
      <c r="A14" s="54"/>
      <c r="B14" s="51" t="s">
        <v>668</v>
      </c>
      <c r="C14" s="51" t="s">
        <v>669</v>
      </c>
      <c r="D14" s="51" t="s">
        <v>670</v>
      </c>
    </row>
    <row r="15" customFormat="false" ht="15" hidden="false" customHeight="false" outlineLevel="0" collapsed="false">
      <c r="A15" s="54"/>
      <c r="B15" s="51" t="s">
        <v>671</v>
      </c>
      <c r="C15" s="51" t="s">
        <v>672</v>
      </c>
      <c r="D15" s="51" t="s">
        <v>673</v>
      </c>
    </row>
    <row r="16" customFormat="false" ht="15" hidden="false" customHeight="false" outlineLevel="0" collapsed="false">
      <c r="A16" s="54"/>
      <c r="B16" s="51" t="s">
        <v>674</v>
      </c>
      <c r="C16" s="51" t="s">
        <v>675</v>
      </c>
      <c r="D16" s="51" t="s">
        <v>676</v>
      </c>
    </row>
    <row r="19" customFormat="false" ht="15" hidden="false" customHeight="false" outlineLevel="0" collapsed="false">
      <c r="A19" s="2" t="s">
        <v>677</v>
      </c>
    </row>
  </sheetData>
  <dataValidations count="2">
    <dataValidation allowBlank="true" error="Целое число от 1 до 10." errorStyle="stop" operator="between" showDropDown="false" showErrorMessage="true" showInputMessage="false" sqref="A12:A30" type="whole">
      <formula1>1</formula1>
      <formula2>10</formula2>
    </dataValidation>
    <dataValidation allowBlank="false" error="Индекс от 50% до 150%." errorStyle="stop" operator="between" showDropDown="false" showErrorMessage="true" showInputMessage="false" sqref="B5:K8" type="decimal">
      <formula1>0.5</formula1>
      <formula2>1.5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L2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2" min="2" style="0" width="10"/>
  </cols>
  <sheetData>
    <row r="1" customFormat="false" ht="17.35" hidden="false" customHeight="false" outlineLevel="0" collapsed="false">
      <c r="A1" s="8" t="s">
        <v>678</v>
      </c>
    </row>
    <row r="2" customFormat="false" ht="15" hidden="false" customHeight="false" outlineLevel="0" collapsed="false">
      <c r="A2" s="2" t="s">
        <v>679</v>
      </c>
    </row>
    <row r="4" customFormat="false" ht="42" hidden="false" customHeight="true" outlineLevel="0" collapsed="false">
      <c r="A4" s="9" t="s">
        <v>680</v>
      </c>
      <c r="B4" s="9" t="n">
        <v>1</v>
      </c>
      <c r="C4" s="9" t="n">
        <v>2</v>
      </c>
      <c r="D4" s="9" t="n">
        <v>3</v>
      </c>
      <c r="E4" s="9" t="n">
        <v>4</v>
      </c>
      <c r="F4" s="9" t="n">
        <v>5</v>
      </c>
      <c r="G4" s="9" t="n">
        <v>6</v>
      </c>
      <c r="H4" s="9" t="n">
        <v>7</v>
      </c>
      <c r="I4" s="9" t="n">
        <v>8</v>
      </c>
      <c r="J4" s="9" t="n">
        <v>9</v>
      </c>
      <c r="K4" s="9" t="n">
        <v>10</v>
      </c>
      <c r="L4" s="9" t="s">
        <v>681</v>
      </c>
    </row>
    <row r="5" customFormat="false" ht="15" hidden="false" customHeight="false" outlineLevel="0" collapsed="false">
      <c r="A5" s="7" t="s">
        <v>682</v>
      </c>
    </row>
    <row r="6" customFormat="false" ht="15" hidden="false" customHeight="false" outlineLevel="0" collapsed="false">
      <c r="A6" s="10" t="s">
        <v>683</v>
      </c>
      <c r="B6" s="17" t="n">
        <f aca="false">IF(1=1,ИНФА!$F$25*ИНФА!$F$8,0)</f>
        <v>30000</v>
      </c>
      <c r="C6" s="17" t="n">
        <f aca="false">IF(2=1,ИНФА!$F$25*ИНФА!$F$8,0)</f>
        <v>0</v>
      </c>
      <c r="D6" s="17" t="n">
        <f aca="false">IF(3=1,ИНФА!$F$25*ИНФА!$F$8,0)</f>
        <v>0</v>
      </c>
      <c r="E6" s="17" t="n">
        <f aca="false">IF(4=1,ИНФА!$F$25*ИНФА!$F$8,0)</f>
        <v>0</v>
      </c>
      <c r="F6" s="17" t="n">
        <f aca="false">IF(5=1,ИНФА!$F$25*ИНФА!$F$8,0)</f>
        <v>0</v>
      </c>
      <c r="G6" s="17" t="n">
        <f aca="false">IF(6=1,ИНФА!$F$25*ИНФА!$F$8,0)</f>
        <v>0</v>
      </c>
      <c r="H6" s="17" t="n">
        <f aca="false">IF(7=1,ИНФА!$F$25*ИНФА!$F$8,0)</f>
        <v>0</v>
      </c>
      <c r="I6" s="17" t="n">
        <f aca="false">IF(8=1,ИНФА!$F$25*ИНФА!$F$8,0)</f>
        <v>0</v>
      </c>
      <c r="J6" s="17" t="n">
        <f aca="false">IF(9=1,ИНФА!$F$25*ИНФА!$F$8,0)</f>
        <v>0</v>
      </c>
      <c r="K6" s="17" t="n">
        <f aca="false">IF(10=1,ИНФА!$F$25*ИНФА!$F$8,0)</f>
        <v>0</v>
      </c>
      <c r="L6" s="55" t="n">
        <f aca="false">SUM(B6:K6)</f>
        <v>30000</v>
      </c>
    </row>
    <row r="7" customFormat="false" ht="15" hidden="false" customHeight="false" outlineLevel="0" collapsed="false">
      <c r="A7" s="10" t="s">
        <v>684</v>
      </c>
      <c r="B7" s="17" t="n">
        <f aca="false">SUM(БАНК!G5:G16)</f>
        <v>0</v>
      </c>
      <c r="C7" s="17" t="n">
        <f aca="false">SUM(БАНК!H5:H16)</f>
        <v>0</v>
      </c>
      <c r="D7" s="17" t="n">
        <f aca="false">SUM(БАНК!I5:I16)</f>
        <v>0</v>
      </c>
      <c r="E7" s="17" t="n">
        <f aca="false">SUM(БАНК!J5:J16)</f>
        <v>0</v>
      </c>
      <c r="F7" s="17" t="n">
        <f aca="false">SUM(БАНК!K5:K16)</f>
        <v>0</v>
      </c>
      <c r="G7" s="17" t="n">
        <f aca="false">SUM(БАНК!L5:L16)</f>
        <v>0</v>
      </c>
      <c r="H7" s="17" t="n">
        <f aca="false">SUM(БАНК!M5:M16)</f>
        <v>0</v>
      </c>
      <c r="I7" s="17" t="n">
        <f aca="false">SUM(БАНК!N5:N16)</f>
        <v>0</v>
      </c>
      <c r="J7" s="17" t="n">
        <f aca="false">SUM(БАНК!O5:O16)</f>
        <v>0</v>
      </c>
      <c r="K7" s="17" t="n">
        <f aca="false">SUM(БАНК!P5:P16)</f>
        <v>0</v>
      </c>
      <c r="L7" s="55" t="n">
        <f aca="false">SUM(B7:K7)</f>
        <v>0</v>
      </c>
    </row>
    <row r="8" customFormat="false" ht="15" hidden="false" customHeight="false" outlineLevel="0" collapsed="false">
      <c r="A8" s="10" t="s">
        <v>685</v>
      </c>
      <c r="B8" s="17" t="n">
        <f aca="false">SUMIFS(БАНК!$B$22:$B$61,БАНК!$C$22:$C$61,1)</f>
        <v>0</v>
      </c>
      <c r="C8" s="17" t="n">
        <f aca="false">SUMIFS(БАНК!$B$22:$B$61,БАНК!$C$22:$C$61,2)</f>
        <v>0</v>
      </c>
      <c r="D8" s="17" t="n">
        <f aca="false">SUMIFS(БАНК!$B$22:$B$61,БАНК!$C$22:$C$61,3)</f>
        <v>0</v>
      </c>
      <c r="E8" s="17" t="n">
        <f aca="false">SUMIFS(БАНК!$B$22:$B$61,БАНК!$C$22:$C$61,4)</f>
        <v>0</v>
      </c>
      <c r="F8" s="17" t="n">
        <f aca="false">SUMIFS(БАНК!$B$22:$B$61,БАНК!$C$22:$C$61,5)</f>
        <v>0</v>
      </c>
      <c r="G8" s="17" t="n">
        <f aca="false">SUMIFS(БАНК!$B$22:$B$61,БАНК!$C$22:$C$61,6)</f>
        <v>0</v>
      </c>
      <c r="H8" s="17" t="n">
        <f aca="false">SUMIFS(БАНК!$B$22:$B$61,БАНК!$C$22:$C$61,7)</f>
        <v>0</v>
      </c>
      <c r="I8" s="17" t="n">
        <f aca="false">SUMIFS(БАНК!$B$22:$B$61,БАНК!$C$22:$C$61,8)</f>
        <v>0</v>
      </c>
      <c r="J8" s="17" t="n">
        <f aca="false">SUMIFS(БАНК!$B$22:$B$61,БАНК!$C$22:$C$61,9)</f>
        <v>0</v>
      </c>
      <c r="K8" s="17" t="n">
        <f aca="false">SUMIFS(БАНК!$B$22:$B$61,БАНК!$C$22:$C$61,10)</f>
        <v>0</v>
      </c>
      <c r="L8" s="55" t="n">
        <f aca="false">SUM(B8:K8)</f>
        <v>0</v>
      </c>
    </row>
    <row r="9" customFormat="false" ht="15" hidden="false" customHeight="false" outlineLevel="0" collapsed="false">
      <c r="A9" s="10" t="s">
        <v>686</v>
      </c>
      <c r="B9" s="17" t="n">
        <f aca="false">SUMIFS(БАНК!$S$22:$S$61,БАНК!$K$22:$K$61,1)</f>
        <v>0</v>
      </c>
      <c r="C9" s="17" t="n">
        <f aca="false">SUMIFS(БАНК!$S$22:$S$61,БАНК!$K$22:$K$61,2)</f>
        <v>0</v>
      </c>
      <c r="D9" s="17" t="n">
        <f aca="false">SUMIFS(БАНК!$S$22:$S$61,БАНК!$K$22:$K$61,3)</f>
        <v>0</v>
      </c>
      <c r="E9" s="17" t="n">
        <f aca="false">SUMIFS(БАНК!$S$22:$S$61,БАНК!$K$22:$K$61,4)</f>
        <v>0</v>
      </c>
      <c r="F9" s="17" t="n">
        <f aca="false">SUMIFS(БАНК!$S$22:$S$61,БАНК!$K$22:$K$61,5)</f>
        <v>0</v>
      </c>
      <c r="G9" s="17" t="n">
        <f aca="false">SUMIFS(БАНК!$S$22:$S$61,БАНК!$K$22:$K$61,6)</f>
        <v>0</v>
      </c>
      <c r="H9" s="17" t="n">
        <f aca="false">SUMIFS(БАНК!$S$22:$S$61,БАНК!$K$22:$K$61,7)</f>
        <v>0</v>
      </c>
      <c r="I9" s="17" t="n">
        <f aca="false">SUMIFS(БАНК!$S$22:$S$61,БАНК!$K$22:$K$61,8)</f>
        <v>0</v>
      </c>
      <c r="J9" s="17" t="n">
        <f aca="false">SUMIFS(БАНК!$S$22:$S$61,БАНК!$K$22:$K$61,9)</f>
        <v>0</v>
      </c>
      <c r="K9" s="17" t="n">
        <f aca="false">SUMIFS(БАНК!$S$22:$S$61,БАНК!$K$22:$K$61,10)</f>
        <v>0</v>
      </c>
      <c r="L9" s="55" t="n">
        <f aca="false">SUM(B9:K9)</f>
        <v>0</v>
      </c>
    </row>
    <row r="10" customFormat="false" ht="15" hidden="false" customHeight="false" outlineLevel="0" collapsed="false">
      <c r="A10" s="10" t="s">
        <v>687</v>
      </c>
      <c r="B10" s="17" t="n">
        <f aca="false">SUMIFS(ИНФРАСТРУКТУРА!$AA$5:$AA$204,ИНФРАСТРУКТУРА!$T$5:$T$204,1,ИНФРАСТРУКТУРА!$U$5:$U$204,"")</f>
        <v>0</v>
      </c>
      <c r="C10" s="17" t="n">
        <f aca="false">SUMIFS(ИНФРАСТРУКТУРА!$AA$5:$AA$204,ИНФРАСТРУКТУРА!$T$5:$T$204,2,ИНФРАСТРУКТУРА!$U$5:$U$204,"")</f>
        <v>0</v>
      </c>
      <c r="D10" s="17" t="n">
        <f aca="false">SUMIFS(ИНФРАСТРУКТУРА!$AA$5:$AA$204,ИНФРАСТРУКТУРА!$T$5:$T$204,3,ИНФРАСТРУКТУРА!$U$5:$U$204,"")</f>
        <v>0</v>
      </c>
      <c r="E10" s="17" t="n">
        <f aca="false">SUMIFS(ИНФРАСТРУКТУРА!$AA$5:$AA$204,ИНФРАСТРУКТУРА!$T$5:$T$204,4,ИНФРАСТРУКТУРА!$U$5:$U$204,"")</f>
        <v>0</v>
      </c>
      <c r="F10" s="17" t="n">
        <f aca="false">SUMIFS(ИНФРАСТРУКТУРА!$AA$5:$AA$204,ИНФРАСТРУКТУРА!$T$5:$T$204,5,ИНФРАСТРУКТУРА!$U$5:$U$204,"")</f>
        <v>0</v>
      </c>
      <c r="G10" s="17" t="n">
        <f aca="false">SUMIFS(ИНФРАСТРУКТУРА!$AA$5:$AA$204,ИНФРАСТРУКТУРА!$T$5:$T$204,6,ИНФРАСТРУКТУРА!$U$5:$U$204,"")</f>
        <v>0</v>
      </c>
      <c r="H10" s="17" t="n">
        <f aca="false">SUMIFS(ИНФРАСТРУКТУРА!$AA$5:$AA$204,ИНФРАСТРУКТУРА!$T$5:$T$204,7,ИНФРАСТРУКТУРА!$U$5:$U$204,"")</f>
        <v>0</v>
      </c>
      <c r="I10" s="17" t="n">
        <f aca="false">SUMIFS(ИНФРАСТРУКТУРА!$AA$5:$AA$204,ИНФРАСТРУКТУРА!$T$5:$T$204,8,ИНФРАСТРУКТУРА!$U$5:$U$204,"")</f>
        <v>0</v>
      </c>
      <c r="J10" s="17" t="n">
        <f aca="false">SUMIFS(ИНФРАСТРУКТУРА!$AA$5:$AA$204,ИНФРАСТРУКТУРА!$T$5:$T$204,9,ИНФРАСТРУКТУРА!$U$5:$U$204,"")</f>
        <v>0</v>
      </c>
      <c r="K10" s="17" t="n">
        <f aca="false">SUMIFS(ИНФРАСТРУКТУРА!$AA$5:$AA$204,ИНФРАСТРУКТУРА!$T$5:$T$204,10,ИНФРАСТРУКТУРА!$U$5:$U$204,"")</f>
        <v>0</v>
      </c>
      <c r="L10" s="55" t="n">
        <f aca="false">SUM(B10:K10)</f>
        <v>0</v>
      </c>
    </row>
    <row r="11" customFormat="false" ht="15" hidden="false" customHeight="false" outlineLevel="0" collapsed="false">
      <c r="A11" s="10" t="s">
        <v>609</v>
      </c>
      <c r="B11" s="17" t="n">
        <f aca="false">SUMIFS('ГРАЖДАНСКИЕ СЕРВИСЫ'!$H$5:$H$44,'ГРАЖДАНСКИЕ СЕРВИСЫ'!$G$5:$G$44,1)</f>
        <v>0</v>
      </c>
      <c r="C11" s="17" t="n">
        <f aca="false">SUMIFS('ГРАЖДАНСКИЕ СЕРВИСЫ'!$H$5:$H$44,'ГРАЖДАНСКИЕ СЕРВИСЫ'!$G$5:$G$44,2)</f>
        <v>0</v>
      </c>
      <c r="D11" s="17" t="n">
        <f aca="false">SUMIFS('ГРАЖДАНСКИЕ СЕРВИСЫ'!$H$5:$H$44,'ГРАЖДАНСКИЕ СЕРВИСЫ'!$G$5:$G$44,3)</f>
        <v>0</v>
      </c>
      <c r="E11" s="17" t="n">
        <f aca="false">SUMIFS('ГРАЖДАНСКИЕ СЕРВИСЫ'!$H$5:$H$44,'ГРАЖДАНСКИЕ СЕРВИСЫ'!$G$5:$G$44,4)</f>
        <v>0</v>
      </c>
      <c r="F11" s="17" t="n">
        <f aca="false">SUMIFS('ГРАЖДАНСКИЕ СЕРВИСЫ'!$H$5:$H$44,'ГРАЖДАНСКИЕ СЕРВИСЫ'!$G$5:$G$44,5)</f>
        <v>0</v>
      </c>
      <c r="G11" s="17" t="n">
        <f aca="false">SUMIFS('ГРАЖДАНСКИЕ СЕРВИСЫ'!$H$5:$H$44,'ГРАЖДАНСКИЕ СЕРВИСЫ'!$G$5:$G$44,6)</f>
        <v>0</v>
      </c>
      <c r="H11" s="17" t="n">
        <f aca="false">SUMIFS('ГРАЖДАНСКИЕ СЕРВИСЫ'!$H$5:$H$44,'ГРАЖДАНСКИЕ СЕРВИСЫ'!$G$5:$G$44,7)</f>
        <v>0</v>
      </c>
      <c r="I11" s="17" t="n">
        <f aca="false">SUMIFS('ГРАЖДАНСКИЕ СЕРВИСЫ'!$H$5:$H$44,'ГРАЖДАНСКИЕ СЕРВИСЫ'!$G$5:$G$44,8)</f>
        <v>0</v>
      </c>
      <c r="J11" s="17" t="n">
        <f aca="false">SUMIFS('ГРАЖДАНСКИЕ СЕРВИСЫ'!$H$5:$H$44,'ГРАЖДАНСКИЕ СЕРВИСЫ'!$G$5:$G$44,9)</f>
        <v>0</v>
      </c>
      <c r="K11" s="17" t="n">
        <f aca="false">SUMIFS('ГРАЖДАНСКИЕ СЕРВИСЫ'!$H$5:$H$44,'ГРАЖДАНСКИЕ СЕРВИСЫ'!$G$5:$G$44,10)</f>
        <v>0</v>
      </c>
      <c r="L11" s="55" t="n">
        <f aca="false">SUM(B11:K11)</f>
        <v>0</v>
      </c>
    </row>
    <row r="12" customFormat="false" ht="15" hidden="false" customHeight="false" outlineLevel="0" collapsed="false">
      <c r="A12" s="10" t="s">
        <v>688</v>
      </c>
      <c r="B12" s="17" t="n">
        <f aca="false">SUMIFS(МЕХАНИКИ!$F$5:$F$84,МЕХАНИКИ!$A$5:$A$84,1)</f>
        <v>0</v>
      </c>
      <c r="C12" s="17" t="n">
        <f aca="false">SUMIFS(МЕХАНИКИ!$F$5:$F$84,МЕХАНИКИ!$A$5:$A$84,2)</f>
        <v>0</v>
      </c>
      <c r="D12" s="17" t="n">
        <f aca="false">SUMIFS(МЕХАНИКИ!$F$5:$F$84,МЕХАНИКИ!$A$5:$A$84,3)</f>
        <v>0</v>
      </c>
      <c r="E12" s="17" t="n">
        <f aca="false">SUMIFS(МЕХАНИКИ!$F$5:$F$84,МЕХАНИКИ!$A$5:$A$84,4)</f>
        <v>0</v>
      </c>
      <c r="F12" s="17" t="n">
        <f aca="false">SUMIFS(МЕХАНИКИ!$F$5:$F$84,МЕХАНИКИ!$A$5:$A$84,5)</f>
        <v>0</v>
      </c>
      <c r="G12" s="17" t="n">
        <f aca="false">SUMIFS(МЕХАНИКИ!$F$5:$F$84,МЕХАНИКИ!$A$5:$A$84,6)</f>
        <v>0</v>
      </c>
      <c r="H12" s="17" t="n">
        <f aca="false">SUMIFS(МЕХАНИКИ!$F$5:$F$84,МЕХАНИКИ!$A$5:$A$84,7)</f>
        <v>0</v>
      </c>
      <c r="I12" s="17" t="n">
        <f aca="false">SUMIFS(МЕХАНИКИ!$F$5:$F$84,МЕХАНИКИ!$A$5:$A$84,8)</f>
        <v>0</v>
      </c>
      <c r="J12" s="17" t="n">
        <f aca="false">SUMIFS(МЕХАНИКИ!$F$5:$F$84,МЕХАНИКИ!$A$5:$A$84,9)</f>
        <v>0</v>
      </c>
      <c r="K12" s="17" t="n">
        <f aca="false">SUMIFS(МЕХАНИКИ!$F$5:$F$84,МЕХАНИКИ!$A$5:$A$84,10)</f>
        <v>0</v>
      </c>
      <c r="L12" s="55" t="n">
        <f aca="false">SUM(B12:K12)</f>
        <v>0</v>
      </c>
    </row>
    <row r="13" customFormat="false" ht="15" hidden="false" customHeight="false" outlineLevel="0" collapsed="false">
      <c r="A13" s="15" t="s">
        <v>689</v>
      </c>
      <c r="B13" s="55" t="n">
        <f aca="false">SUM(B6:B12)</f>
        <v>30000</v>
      </c>
      <c r="C13" s="55" t="n">
        <f aca="false">SUM(C6:C12)</f>
        <v>0</v>
      </c>
      <c r="D13" s="55" t="n">
        <f aca="false">SUM(D6:D12)</f>
        <v>0</v>
      </c>
      <c r="E13" s="55" t="n">
        <f aca="false">SUM(E6:E12)</f>
        <v>0</v>
      </c>
      <c r="F13" s="55" t="n">
        <f aca="false">SUM(F6:F12)</f>
        <v>0</v>
      </c>
      <c r="G13" s="55" t="n">
        <f aca="false">SUM(G6:G12)</f>
        <v>0</v>
      </c>
      <c r="H13" s="55" t="n">
        <f aca="false">SUM(H6:H12)</f>
        <v>0</v>
      </c>
      <c r="I13" s="55" t="n">
        <f aca="false">SUM(I6:I12)</f>
        <v>0</v>
      </c>
      <c r="J13" s="55" t="n">
        <f aca="false">SUM(J6:J12)</f>
        <v>0</v>
      </c>
      <c r="K13" s="55" t="n">
        <f aca="false">SUM(K6:K12)</f>
        <v>0</v>
      </c>
      <c r="L13" s="55" t="n">
        <f aca="false">SUM(B13:K13)</f>
        <v>30000</v>
      </c>
    </row>
    <row r="14" customFormat="false" ht="15" hidden="false" customHeight="false" outlineLevel="0" collapsed="false">
      <c r="A14" s="7" t="s">
        <v>690</v>
      </c>
    </row>
    <row r="15" customFormat="false" ht="15" hidden="false" customHeight="false" outlineLevel="0" collapsed="false">
      <c r="A15" s="10" t="s">
        <v>691</v>
      </c>
      <c r="B15" s="17" t="n">
        <f aca="false">SUMIFS(ИНФРАСТРУКТУРА!$I$5:$I$204,ИНФРАСТРУКТУРА!$D$5:$D$204,1,ИНФРАСТРУКТУРА!$E$5:$E$204,"")</f>
        <v>0</v>
      </c>
      <c r="C15" s="17" t="n">
        <f aca="false">SUMIFS(ИНФРАСТРУКТУРА!$I$5:$I$204,ИНФРАСТРУКТУРА!$D$5:$D$204,2,ИНФРАСТРУКТУРА!$E$5:$E$204,"")</f>
        <v>0</v>
      </c>
      <c r="D15" s="17" t="n">
        <f aca="false">SUMIFS(ИНФРАСТРУКТУРА!$I$5:$I$204,ИНФРАСТРУКТУРА!$D$5:$D$204,3,ИНФРАСТРУКТУРА!$E$5:$E$204,"")</f>
        <v>0</v>
      </c>
      <c r="E15" s="17" t="n">
        <f aca="false">SUMIFS(ИНФРАСТРУКТУРА!$I$5:$I$204,ИНФРАСТРУКТУРА!$D$5:$D$204,4,ИНФРАСТРУКТУРА!$E$5:$E$204,"")</f>
        <v>0</v>
      </c>
      <c r="F15" s="17" t="n">
        <f aca="false">SUMIFS(ИНФРАСТРУКТУРА!$I$5:$I$204,ИНФРАСТРУКТУРА!$D$5:$D$204,5,ИНФРАСТРУКТУРА!$E$5:$E$204,"")</f>
        <v>0</v>
      </c>
      <c r="G15" s="17" t="n">
        <f aca="false">SUMIFS(ИНФРАСТРУКТУРА!$I$5:$I$204,ИНФРАСТРУКТУРА!$D$5:$D$204,6,ИНФРАСТРУКТУРА!$E$5:$E$204,"")</f>
        <v>0</v>
      </c>
      <c r="H15" s="17" t="n">
        <f aca="false">SUMIFS(ИНФРАСТРУКТУРА!$I$5:$I$204,ИНФРАСТРУКТУРА!$D$5:$D$204,7,ИНФРАСТРУКТУРА!$E$5:$E$204,"")</f>
        <v>0</v>
      </c>
      <c r="I15" s="17" t="n">
        <f aca="false">SUMIFS(ИНФРАСТРУКТУРА!$I$5:$I$204,ИНФРАСТРУКТУРА!$D$5:$D$204,8,ИНФРАСТРУКТУРА!$E$5:$E$204,"")</f>
        <v>0</v>
      </c>
      <c r="J15" s="17" t="n">
        <f aca="false">SUMIFS(ИНФРАСТРУКТУРА!$I$5:$I$204,ИНФРАСТРУКТУРА!$D$5:$D$204,9,ИНФРАСТРУКТУРА!$E$5:$E$204,"")</f>
        <v>0</v>
      </c>
      <c r="K15" s="17" t="n">
        <f aca="false">SUMIFS(ИНФРАСТРУКТУРА!$I$5:$I$204,ИНФРАСТРУКТУРА!$D$5:$D$204,10,ИНФРАСТРУКТУРА!$E$5:$E$204,"")</f>
        <v>0</v>
      </c>
      <c r="L15" s="55" t="n">
        <f aca="false">SUM(B15:K15)</f>
        <v>0</v>
      </c>
    </row>
    <row r="16" customFormat="false" ht="15" hidden="false" customHeight="false" outlineLevel="0" collapsed="false">
      <c r="A16" s="10" t="s">
        <v>692</v>
      </c>
      <c r="B16" s="17" t="n">
        <f aca="false">SUMIFS(БАНК!$O$22:$O$61,БАНК!$K$22:$K$61,1)</f>
        <v>0</v>
      </c>
      <c r="C16" s="17" t="n">
        <f aca="false">SUMIFS(БАНК!$O$22:$O$61,БАНК!$K$22:$K$61,2)</f>
        <v>0</v>
      </c>
      <c r="D16" s="17" t="n">
        <f aca="false">SUMIFS(БАНК!$O$22:$O$61,БАНК!$K$22:$K$61,3)</f>
        <v>0</v>
      </c>
      <c r="E16" s="17" t="n">
        <f aca="false">SUMIFS(БАНК!$O$22:$O$61,БАНК!$K$22:$K$61,4)</f>
        <v>0</v>
      </c>
      <c r="F16" s="17" t="n">
        <f aca="false">SUMIFS(БАНК!$O$22:$O$61,БАНК!$K$22:$K$61,5)</f>
        <v>0</v>
      </c>
      <c r="G16" s="17" t="n">
        <f aca="false">SUMIFS(БАНК!$O$22:$O$61,БАНК!$K$22:$K$61,6)</f>
        <v>0</v>
      </c>
      <c r="H16" s="17" t="n">
        <f aca="false">SUMIFS(БАНК!$O$22:$O$61,БАНК!$K$22:$K$61,7)</f>
        <v>0</v>
      </c>
      <c r="I16" s="17" t="n">
        <f aca="false">SUMIFS(БАНК!$O$22:$O$61,БАНК!$K$22:$K$61,8)</f>
        <v>0</v>
      </c>
      <c r="J16" s="17" t="n">
        <f aca="false">SUMIFS(БАНК!$O$22:$O$61,БАНК!$K$22:$K$61,9)</f>
        <v>0</v>
      </c>
      <c r="K16" s="17" t="n">
        <f aca="false">SUMIFS(БАНК!$O$22:$O$61,БАНК!$K$22:$K$61,10)</f>
        <v>0</v>
      </c>
      <c r="L16" s="55" t="n">
        <f aca="false">SUM(B16:K16)</f>
        <v>0</v>
      </c>
    </row>
    <row r="17" customFormat="false" ht="15" hidden="false" customHeight="false" outlineLevel="0" collapsed="false">
      <c r="A17" s="10" t="s">
        <v>693</v>
      </c>
      <c r="B17" s="17" t="n">
        <f aca="false">SUMIFS('ГРАЖДАНСКИЕ СЕРВИСЫ'!$O$5:$O$64,'ГРАЖДАНСКИЕ СЕРВИСЫ'!$Q$5:$Q$64,1,'ГРАЖДАНСКИЕ СЕРВИСЫ'!$P$5:$P$64,"да")</f>
        <v>0</v>
      </c>
      <c r="C17" s="17" t="n">
        <f aca="false">SUMIFS('ГРАЖДАНСКИЕ СЕРВИСЫ'!$O$5:$O$64,'ГРАЖДАНСКИЕ СЕРВИСЫ'!$Q$5:$Q$64,2,'ГРАЖДАНСКИЕ СЕРВИСЫ'!$P$5:$P$64,"да")</f>
        <v>0</v>
      </c>
      <c r="D17" s="17" t="n">
        <f aca="false">SUMIFS('ГРАЖДАНСКИЕ СЕРВИСЫ'!$O$5:$O$64,'ГРАЖДАНСКИЕ СЕРВИСЫ'!$Q$5:$Q$64,3,'ГРАЖДАНСКИЕ СЕРВИСЫ'!$P$5:$P$64,"да")</f>
        <v>0</v>
      </c>
      <c r="E17" s="17" t="n">
        <f aca="false">SUMIFS('ГРАЖДАНСКИЕ СЕРВИСЫ'!$O$5:$O$64,'ГРАЖДАНСКИЕ СЕРВИСЫ'!$Q$5:$Q$64,4,'ГРАЖДАНСКИЕ СЕРВИСЫ'!$P$5:$P$64,"да")</f>
        <v>0</v>
      </c>
      <c r="F17" s="17" t="n">
        <f aca="false">SUMIFS('ГРАЖДАНСКИЕ СЕРВИСЫ'!$O$5:$O$64,'ГРАЖДАНСКИЕ СЕРВИСЫ'!$Q$5:$Q$64,5,'ГРАЖДАНСКИЕ СЕРВИСЫ'!$P$5:$P$64,"да")</f>
        <v>0</v>
      </c>
      <c r="G17" s="17" t="n">
        <f aca="false">SUMIFS('ГРАЖДАНСКИЕ СЕРВИСЫ'!$O$5:$O$64,'ГРАЖДАНСКИЕ СЕРВИСЫ'!$Q$5:$Q$64,6,'ГРАЖДАНСКИЕ СЕРВИСЫ'!$P$5:$P$64,"да")</f>
        <v>0</v>
      </c>
      <c r="H17" s="17" t="n">
        <f aca="false">SUMIFS('ГРАЖДАНСКИЕ СЕРВИСЫ'!$O$5:$O$64,'ГРАЖДАНСКИЕ СЕРВИСЫ'!$Q$5:$Q$64,7,'ГРАЖДАНСКИЕ СЕРВИСЫ'!$P$5:$P$64,"да")</f>
        <v>0</v>
      </c>
      <c r="I17" s="17" t="n">
        <f aca="false">SUMIFS('ГРАЖДАНСКИЕ СЕРВИСЫ'!$O$5:$O$64,'ГРАЖДАНСКИЕ СЕРВИСЫ'!$Q$5:$Q$64,8,'ГРАЖДАНСКИЕ СЕРВИСЫ'!$P$5:$P$64,"да")</f>
        <v>0</v>
      </c>
      <c r="J17" s="17" t="n">
        <f aca="false">SUMIFS('ГРАЖДАНСКИЕ СЕРВИСЫ'!$O$5:$O$64,'ГРАЖДАНСКИЕ СЕРВИСЫ'!$Q$5:$Q$64,9,'ГРАЖДАНСКИЕ СЕРВИСЫ'!$P$5:$P$64,"да")</f>
        <v>0</v>
      </c>
      <c r="K17" s="17" t="n">
        <f aca="false">SUMIFS('ГРАЖДАНСКИЕ СЕРВИСЫ'!$O$5:$O$64,'ГРАЖДАНСКИЕ СЕРВИСЫ'!$Q$5:$Q$64,10,'ГРАЖДАНСКИЕ СЕРВИСЫ'!$P$5:$P$64,"да")</f>
        <v>0</v>
      </c>
      <c r="L17" s="55" t="n">
        <f aca="false">SUM(B17:K17)</f>
        <v>0</v>
      </c>
    </row>
    <row r="18" customFormat="false" ht="15" hidden="false" customHeight="false" outlineLevel="0" collapsed="false">
      <c r="A18" s="15" t="s">
        <v>694</v>
      </c>
      <c r="B18" s="55" t="n">
        <f aca="false">SUM(B15:B17)</f>
        <v>0</v>
      </c>
      <c r="C18" s="55" t="n">
        <f aca="false">SUM(C15:C17)</f>
        <v>0</v>
      </c>
      <c r="D18" s="55" t="n">
        <f aca="false">SUM(D15:D17)</f>
        <v>0</v>
      </c>
      <c r="E18" s="55" t="n">
        <f aca="false">SUM(E15:E17)</f>
        <v>0</v>
      </c>
      <c r="F18" s="55" t="n">
        <f aca="false">SUM(F15:F17)</f>
        <v>0</v>
      </c>
      <c r="G18" s="55" t="n">
        <f aca="false">SUM(G15:G17)</f>
        <v>0</v>
      </c>
      <c r="H18" s="55" t="n">
        <f aca="false">SUM(H15:H17)</f>
        <v>0</v>
      </c>
      <c r="I18" s="55" t="n">
        <f aca="false">SUM(I15:I17)</f>
        <v>0</v>
      </c>
      <c r="J18" s="55" t="n">
        <f aca="false">SUM(J15:J17)</f>
        <v>0</v>
      </c>
      <c r="K18" s="55" t="n">
        <f aca="false">SUM(K15:K17)</f>
        <v>0</v>
      </c>
      <c r="L18" s="55" t="n">
        <f aca="false">SUM(B18:K18)</f>
        <v>0</v>
      </c>
    </row>
    <row r="19" customFormat="false" ht="15" hidden="false" customHeight="false" outlineLevel="0" collapsed="false">
      <c r="A19" s="15"/>
    </row>
    <row r="20" customFormat="false" ht="15" hidden="false" customHeight="false" outlineLevel="0" collapsed="false">
      <c r="A20" s="15" t="s">
        <v>695</v>
      </c>
      <c r="B20" s="55" t="n">
        <f aca="false">B13-B18</f>
        <v>30000</v>
      </c>
      <c r="C20" s="55" t="n">
        <f aca="false">C13-C18+B20</f>
        <v>30000</v>
      </c>
      <c r="D20" s="55" t="n">
        <f aca="false">D13-D18+C20</f>
        <v>30000</v>
      </c>
      <c r="E20" s="55" t="n">
        <f aca="false">E13-E18+D20</f>
        <v>30000</v>
      </c>
      <c r="F20" s="55" t="n">
        <f aca="false">F13-F18+E20</f>
        <v>30000</v>
      </c>
      <c r="G20" s="55" t="n">
        <f aca="false">G13-G18+F20</f>
        <v>30000</v>
      </c>
      <c r="H20" s="55" t="n">
        <f aca="false">H13-H18+G20</f>
        <v>30000</v>
      </c>
      <c r="I20" s="55" t="n">
        <f aca="false">I13-I18+H20</f>
        <v>30000</v>
      </c>
      <c r="J20" s="55" t="n">
        <f aca="false">J13-J18+I20</f>
        <v>30000</v>
      </c>
      <c r="K20" s="55" t="n">
        <f aca="false">K13-K18+J20</f>
        <v>30000</v>
      </c>
    </row>
    <row r="21" customFormat="false" ht="15" hidden="false" customHeight="false" outlineLevel="0" collapsed="false">
      <c r="A21" s="15" t="s">
        <v>696</v>
      </c>
      <c r="B21" s="17" t="n">
        <f aca="false">IF(ИНФА!$F$25=0,"",ROUND(B20/ИНФА!$F$25,0))</f>
        <v>5000</v>
      </c>
      <c r="C21" s="17" t="n">
        <f aca="false">IF(ИНФА!$F$25=0,"",ROUND(C20/ИНФА!$F$25,0))</f>
        <v>5000</v>
      </c>
      <c r="D21" s="17" t="n">
        <f aca="false">IF(ИНФА!$F$25=0,"",ROUND(D20/ИНФА!$F$25,0))</f>
        <v>5000</v>
      </c>
      <c r="E21" s="17" t="n">
        <f aca="false">IF(ИНФА!$F$25=0,"",ROUND(E20/ИНФА!$F$25,0))</f>
        <v>5000</v>
      </c>
      <c r="F21" s="17" t="n">
        <f aca="false">IF(ИНФА!$F$25=0,"",ROUND(F20/ИНФА!$F$25,0))</f>
        <v>5000</v>
      </c>
      <c r="G21" s="17" t="n">
        <f aca="false">IF(ИНФА!$F$25=0,"",ROUND(G20/ИНФА!$F$25,0))</f>
        <v>5000</v>
      </c>
      <c r="H21" s="17" t="n">
        <f aca="false">IF(ИНФА!$F$25=0,"",ROUND(H20/ИНФА!$F$25,0))</f>
        <v>5000</v>
      </c>
      <c r="I21" s="17" t="n">
        <f aca="false">IF(ИНФА!$F$25=0,"",ROUND(I20/ИНФА!$F$25,0))</f>
        <v>5000</v>
      </c>
      <c r="J21" s="17" t="n">
        <f aca="false">IF(ИНФА!$F$25=0,"",ROUND(J20/ИНФА!$F$25,0))</f>
        <v>5000</v>
      </c>
      <c r="K21" s="17" t="n">
        <f aca="false">IF(ИНФА!$F$25=0,"",ROUND(K20/ИНФА!$F$25,0))</f>
        <v>5000</v>
      </c>
    </row>
    <row r="22" customFormat="false" ht="15" hidden="false" customHeight="false" outlineLevel="0" collapsed="false">
      <c r="A22" s="15" t="s">
        <v>697</v>
      </c>
      <c r="B22" s="17" t="n">
        <f aca="false">ИНФА!$F$23-B20</f>
        <v>120000</v>
      </c>
      <c r="C22" s="17" t="n">
        <f aca="false">ИНФА!$F$23-C20</f>
        <v>120000</v>
      </c>
      <c r="D22" s="17" t="n">
        <f aca="false">ИНФА!$F$23-D20</f>
        <v>120000</v>
      </c>
      <c r="E22" s="17" t="n">
        <f aca="false">ИНФА!$F$23-E20</f>
        <v>120000</v>
      </c>
      <c r="F22" s="17" t="n">
        <f aca="false">ИНФА!$F$23-F20</f>
        <v>120000</v>
      </c>
      <c r="G22" s="17" t="n">
        <f aca="false">ИНФА!$F$23-G20</f>
        <v>120000</v>
      </c>
      <c r="H22" s="17" t="n">
        <f aca="false">ИНФА!$F$23-H20</f>
        <v>120000</v>
      </c>
      <c r="I22" s="17" t="n">
        <f aca="false">ИНФА!$F$23-I20</f>
        <v>120000</v>
      </c>
      <c r="J22" s="17" t="n">
        <f aca="false">ИНФА!$F$23-J20</f>
        <v>120000</v>
      </c>
      <c r="K22" s="17" t="n">
        <f aca="false">ИНФА!$F$23-K20</f>
        <v>120000</v>
      </c>
    </row>
    <row r="23" customFormat="false" ht="15" hidden="false" customHeight="false" outlineLevel="0" collapsed="false">
      <c r="A23" s="15" t="s">
        <v>698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customFormat="false" ht="15" hidden="false" customHeight="false" outlineLevel="0" collapsed="false">
      <c r="A24" s="15" t="s">
        <v>699</v>
      </c>
      <c r="B24" s="56" t="str">
        <f aca="false">IF(B23="","",B23-B22)</f>
        <v/>
      </c>
      <c r="C24" s="56" t="str">
        <f aca="false">IF(C23="","",C23-C22)</f>
        <v/>
      </c>
      <c r="D24" s="56" t="str">
        <f aca="false">IF(D23="","",D23-D22)</f>
        <v/>
      </c>
      <c r="E24" s="56" t="str">
        <f aca="false">IF(E23="","",E23-E22)</f>
        <v/>
      </c>
      <c r="F24" s="56" t="str">
        <f aca="false">IF(F23="","",F23-F22)</f>
        <v/>
      </c>
      <c r="G24" s="56" t="str">
        <f aca="false">IF(G23="","",G23-G22)</f>
        <v/>
      </c>
      <c r="H24" s="56" t="str">
        <f aca="false">IF(H23="","",H23-H22)</f>
        <v/>
      </c>
      <c r="I24" s="56" t="str">
        <f aca="false">IF(I23="","",I23-I22)</f>
        <v/>
      </c>
      <c r="J24" s="56" t="str">
        <f aca="false">IF(J23="","",J23-J22)</f>
        <v/>
      </c>
      <c r="K24" s="56" t="str">
        <f aca="false">IF(K23="","",K23-K22)</f>
        <v/>
      </c>
    </row>
    <row r="26" customFormat="false" ht="15" hidden="false" customHeight="false" outlineLevel="0" collapsed="false">
      <c r="A26" s="2" t="s">
        <v>700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2026-10-21T02:17:44Z</dcterms:created>
  <dc:creator>openpyxl</dc:creator>
  <dc:description/>
  <dc:language>en-US</dc:language>
  <cp:lastModifiedBy/>
  <dcterms:modified xsi:type="dcterms:W3CDTF">2026-10-21T02:17:45Z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